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9CB7D472-AFAA-4CEB-BF23-E9A82333A355}" xr6:coauthVersionLast="47" xr6:coauthVersionMax="47" xr10:uidLastSave="{00000000-0000-0000-0000-000000000000}"/>
  <bookViews>
    <workbookView xWindow="-16320" yWindow="-120" windowWidth="16440" windowHeight="28320" firstSheet="1" xr2:uid="{FBD92E23-6EF7-6F44-BDB7-1B3F11F79E23}"/>
  </bookViews>
  <sheets>
    <sheet name="Scoring" sheetId="3" r:id="rId1"/>
    <sheet name="Tiebreaker Calculation" sheetId="1" r:id="rId2"/>
  </sheets>
  <definedNames>
    <definedName name="_xlnm.Print_Area" localSheetId="0">Scoring!$A$2:$H$109</definedName>
    <definedName name="_xlnm.Print_Area" localSheetId="1">'Tiebreaker Calculation'!$B$1:$I$113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3" i="1" l="1"/>
  <c r="F10" i="3" l="1"/>
  <c r="F4" i="3" s="1"/>
  <c r="F20" i="3"/>
  <c r="F5" i="3" s="1"/>
  <c r="H77" i="1"/>
  <c r="H73" i="1"/>
  <c r="F81" i="1"/>
  <c r="F83" i="1"/>
  <c r="F79" i="1"/>
  <c r="F76" i="1"/>
  <c r="F82" i="1" s="1"/>
  <c r="F74" i="1"/>
  <c r="F80" i="1" s="1"/>
  <c r="H76" i="1"/>
  <c r="H75" i="1"/>
  <c r="G81" i="1"/>
  <c r="G82" i="1" s="1"/>
  <c r="G87" i="1"/>
  <c r="G86" i="1"/>
  <c r="C11" i="1"/>
  <c r="F99" i="3"/>
  <c r="F91" i="3"/>
  <c r="E86" i="3"/>
  <c r="E85" i="3"/>
  <c r="E8" i="3"/>
  <c r="B6" i="3"/>
  <c r="B5" i="3"/>
  <c r="B4" i="3"/>
  <c r="H81" i="1" l="1"/>
  <c r="F81" i="3"/>
  <c r="F6" i="3" s="1"/>
  <c r="F8" i="3" s="1"/>
  <c r="E172" i="1"/>
  <c r="D99" i="1"/>
  <c r="D107" i="1"/>
  <c r="D113" i="1"/>
  <c r="C62" i="1"/>
  <c r="D62" i="1"/>
  <c r="E62" i="1"/>
  <c r="F62" i="1"/>
  <c r="I47" i="1"/>
  <c r="I48" i="1"/>
  <c r="C86" i="1" s="1"/>
  <c r="I49" i="1"/>
  <c r="C87" i="1" s="1"/>
  <c r="I50" i="1"/>
  <c r="C88" i="1" s="1"/>
  <c r="I51" i="1"/>
  <c r="D98" i="1"/>
  <c r="I61" i="1"/>
  <c r="I60" i="1"/>
  <c r="I59" i="1"/>
  <c r="I58" i="1"/>
  <c r="I57" i="1"/>
  <c r="I56" i="1"/>
  <c r="I55" i="1"/>
  <c r="I54" i="1"/>
  <c r="I53" i="1"/>
  <c r="I52" i="1"/>
  <c r="H79" i="1"/>
  <c r="H74" i="1"/>
  <c r="H80" i="1" s="1"/>
  <c r="C121" i="1"/>
  <c r="C156" i="1" s="1"/>
  <c r="D121" i="1"/>
  <c r="D156" i="1" s="1"/>
  <c r="H62" i="1"/>
  <c r="H67" i="1" s="1"/>
  <c r="G62" i="1"/>
  <c r="G67" i="1" s="1"/>
  <c r="E121" i="1"/>
  <c r="E153" i="1" s="1"/>
  <c r="F121" i="1"/>
  <c r="F152" i="1" s="1"/>
  <c r="G121" i="1"/>
  <c r="H121" i="1" s="1"/>
  <c r="C122" i="1"/>
  <c r="D122" i="1"/>
  <c r="E122" i="1"/>
  <c r="F122" i="1"/>
  <c r="H122" i="1"/>
  <c r="G122" i="1"/>
  <c r="K48" i="1"/>
  <c r="K49" i="1"/>
  <c r="K50" i="1"/>
  <c r="K51" i="1"/>
  <c r="K52" i="1"/>
  <c r="K53" i="1"/>
  <c r="K54" i="1"/>
  <c r="K55" i="1"/>
  <c r="K56" i="1"/>
  <c r="K57" i="1"/>
  <c r="K58" i="1"/>
  <c r="K59" i="1"/>
  <c r="K60" i="1"/>
  <c r="K61" i="1"/>
  <c r="K47" i="1"/>
  <c r="G120" i="1"/>
  <c r="H120" i="1" s="1"/>
  <c r="D103" i="1"/>
  <c r="H128" i="1"/>
  <c r="C235" i="1"/>
  <c r="B153" i="1"/>
  <c r="B154" i="1"/>
  <c r="B155" i="1"/>
  <c r="B156" i="1"/>
  <c r="B157" i="1"/>
  <c r="B158" i="1"/>
  <c r="B159" i="1"/>
  <c r="B160" i="1"/>
  <c r="B161" i="1"/>
  <c r="B162" i="1"/>
  <c r="B163" i="1"/>
  <c r="B164" i="1"/>
  <c r="B165" i="1"/>
  <c r="B166" i="1"/>
  <c r="B152" i="1"/>
  <c r="C120" i="1"/>
  <c r="D120" i="1"/>
  <c r="E120" i="1"/>
  <c r="F120" i="1"/>
  <c r="I66" i="1"/>
  <c r="C85" i="1"/>
  <c r="C84" i="1"/>
  <c r="G126" i="1" l="1"/>
  <c r="G162" i="1"/>
  <c r="H177" i="1"/>
  <c r="G88" i="1" s="1"/>
  <c r="H188" i="1"/>
  <c r="C126" i="1"/>
  <c r="C67" i="1"/>
  <c r="D126" i="1"/>
  <c r="D127" i="1" s="1"/>
  <c r="D129" i="1" s="1"/>
  <c r="D67" i="1"/>
  <c r="E126" i="1"/>
  <c r="E67" i="1"/>
  <c r="F126" i="1"/>
  <c r="F67" i="1"/>
  <c r="D163" i="1"/>
  <c r="H211" i="1"/>
  <c r="C158" i="1"/>
  <c r="F165" i="1"/>
  <c r="F159" i="1"/>
  <c r="C155" i="1"/>
  <c r="C154" i="1"/>
  <c r="G166" i="1"/>
  <c r="C152" i="1"/>
  <c r="G160" i="1"/>
  <c r="C165" i="1"/>
  <c r="C159" i="1"/>
  <c r="C164" i="1"/>
  <c r="C153" i="1"/>
  <c r="C163" i="1"/>
  <c r="H82" i="1"/>
  <c r="C162" i="1"/>
  <c r="C82" i="1"/>
  <c r="C161" i="1"/>
  <c r="G164" i="1"/>
  <c r="C160" i="1"/>
  <c r="D164" i="1"/>
  <c r="C157" i="1"/>
  <c r="H200" i="1"/>
  <c r="F166" i="1"/>
  <c r="H223" i="1"/>
  <c r="G158" i="1"/>
  <c r="H180" i="1"/>
  <c r="F164" i="1"/>
  <c r="F157" i="1"/>
  <c r="G156" i="1"/>
  <c r="F163" i="1"/>
  <c r="F155" i="1"/>
  <c r="G154" i="1"/>
  <c r="F153" i="1"/>
  <c r="F162" i="1"/>
  <c r="G152" i="1"/>
  <c r="F161" i="1"/>
  <c r="H218" i="1"/>
  <c r="H207" i="1"/>
  <c r="H196" i="1"/>
  <c r="H229" i="1"/>
  <c r="H186" i="1"/>
  <c r="H217" i="1"/>
  <c r="H225" i="1"/>
  <c r="H193" i="1"/>
  <c r="H230" i="1"/>
  <c r="H185" i="1"/>
  <c r="D160" i="1"/>
  <c r="D155" i="1"/>
  <c r="H216" i="1"/>
  <c r="H204" i="1"/>
  <c r="H192" i="1"/>
  <c r="H231" i="1"/>
  <c r="H184" i="1"/>
  <c r="H214" i="1"/>
  <c r="H203" i="1"/>
  <c r="H191" i="1"/>
  <c r="H232" i="1"/>
  <c r="H183" i="1"/>
  <c r="D159" i="1"/>
  <c r="D154" i="1"/>
  <c r="H213" i="1"/>
  <c r="H202" i="1"/>
  <c r="H190" i="1"/>
  <c r="H233" i="1"/>
  <c r="H182" i="1"/>
  <c r="H212" i="1"/>
  <c r="H201" i="1"/>
  <c r="H189" i="1"/>
  <c r="H234" i="1"/>
  <c r="H181" i="1"/>
  <c r="D158" i="1"/>
  <c r="D153" i="1"/>
  <c r="H210" i="1"/>
  <c r="H199" i="1"/>
  <c r="H187" i="1"/>
  <c r="H220" i="1"/>
  <c r="H178" i="1"/>
  <c r="D166" i="1"/>
  <c r="D162" i="1"/>
  <c r="D157" i="1"/>
  <c r="D152" i="1"/>
  <c r="H209" i="1"/>
  <c r="H198" i="1"/>
  <c r="H226" i="1"/>
  <c r="H219" i="1"/>
  <c r="H221" i="1"/>
  <c r="H224" i="1"/>
  <c r="H208" i="1"/>
  <c r="H197" i="1"/>
  <c r="H227" i="1"/>
  <c r="H195" i="1"/>
  <c r="H206" i="1"/>
  <c r="D165" i="1"/>
  <c r="D161" i="1"/>
  <c r="I62" i="1"/>
  <c r="I67" i="1" s="1"/>
  <c r="H153" i="1"/>
  <c r="H155" i="1"/>
  <c r="H157" i="1"/>
  <c r="H159" i="1"/>
  <c r="H161" i="1"/>
  <c r="H163" i="1"/>
  <c r="H165" i="1"/>
  <c r="H152" i="1"/>
  <c r="H154" i="1"/>
  <c r="H156" i="1"/>
  <c r="H158" i="1"/>
  <c r="H160" i="1"/>
  <c r="H162" i="1"/>
  <c r="H164" i="1"/>
  <c r="H166" i="1"/>
  <c r="C75" i="1"/>
  <c r="F160" i="1"/>
  <c r="F158" i="1"/>
  <c r="F156" i="1"/>
  <c r="F154" i="1"/>
  <c r="E166" i="1"/>
  <c r="E164" i="1"/>
  <c r="E162" i="1"/>
  <c r="E160" i="1"/>
  <c r="E158" i="1"/>
  <c r="E156" i="1"/>
  <c r="E154" i="1"/>
  <c r="E152" i="1"/>
  <c r="H215" i="1"/>
  <c r="H205" i="1"/>
  <c r="H194" i="1"/>
  <c r="H228" i="1"/>
  <c r="H222" i="1"/>
  <c r="H179" i="1"/>
  <c r="C166" i="1"/>
  <c r="G165" i="1"/>
  <c r="G163" i="1"/>
  <c r="G161" i="1"/>
  <c r="G159" i="1"/>
  <c r="G157" i="1"/>
  <c r="G155" i="1"/>
  <c r="G153" i="1"/>
  <c r="E165" i="1"/>
  <c r="E163" i="1"/>
  <c r="E161" i="1"/>
  <c r="E159" i="1"/>
  <c r="E157" i="1"/>
  <c r="E155" i="1"/>
  <c r="C127" i="1" l="1"/>
  <c r="C129" i="1" s="1"/>
  <c r="H126" i="1"/>
  <c r="C92" i="1"/>
  <c r="D92" i="1"/>
  <c r="C167" i="1"/>
  <c r="C64" i="1"/>
  <c r="B144" i="1" s="1"/>
  <c r="G167" i="1"/>
  <c r="F167" i="1"/>
  <c r="D167" i="1"/>
  <c r="F127" i="1"/>
  <c r="F129" i="1" s="1"/>
  <c r="G127" i="1"/>
  <c r="G129" i="1" s="1"/>
  <c r="H167" i="1"/>
  <c r="E167" i="1"/>
  <c r="C90" i="1" l="1"/>
  <c r="C80" i="1" s="1"/>
  <c r="H72" i="1"/>
  <c r="H83" i="1"/>
  <c r="H84" i="1" s="1"/>
  <c r="B146" i="1"/>
  <c r="B138" i="1"/>
  <c r="H138" i="1" s="1"/>
  <c r="B133" i="1"/>
  <c r="D133" i="1" s="1"/>
  <c r="B142" i="1"/>
  <c r="C142" i="1" s="1"/>
  <c r="B137" i="1"/>
  <c r="C137" i="1" s="1"/>
  <c r="B141" i="1"/>
  <c r="H141" i="1" s="1"/>
  <c r="B145" i="1"/>
  <c r="F145" i="1" s="1"/>
  <c r="B140" i="1"/>
  <c r="H140" i="1" s="1"/>
  <c r="B136" i="1"/>
  <c r="F136" i="1" s="1"/>
  <c r="B139" i="1"/>
  <c r="D139" i="1" s="1"/>
  <c r="B134" i="1"/>
  <c r="D134" i="1" s="1"/>
  <c r="B147" i="1"/>
  <c r="E147" i="1" s="1"/>
  <c r="B143" i="1"/>
  <c r="C143" i="1" s="1"/>
  <c r="C77" i="1"/>
  <c r="E127" i="1"/>
  <c r="E129" i="1" s="1"/>
  <c r="H129" i="1" s="1"/>
  <c r="B135" i="1"/>
  <c r="G135" i="1" s="1"/>
  <c r="F138" i="1"/>
  <c r="E146" i="1"/>
  <c r="G146" i="1"/>
  <c r="D146" i="1"/>
  <c r="F146" i="1"/>
  <c r="C146" i="1"/>
  <c r="H146" i="1"/>
  <c r="C133" i="1"/>
  <c r="G144" i="1"/>
  <c r="D144" i="1"/>
  <c r="C144" i="1"/>
  <c r="F144" i="1"/>
  <c r="H144" i="1"/>
  <c r="E144" i="1"/>
  <c r="G138" i="1" l="1"/>
  <c r="E138" i="1"/>
  <c r="D138" i="1"/>
  <c r="C138" i="1"/>
  <c r="G89" i="1"/>
  <c r="H86" i="1"/>
  <c r="H87" i="1"/>
  <c r="H88" i="1"/>
  <c r="F133" i="1"/>
  <c r="H133" i="1"/>
  <c r="E133" i="1"/>
  <c r="G133" i="1"/>
  <c r="D142" i="1"/>
  <c r="G142" i="1"/>
  <c r="E142" i="1"/>
  <c r="F137" i="1"/>
  <c r="D137" i="1"/>
  <c r="G137" i="1"/>
  <c r="E137" i="1"/>
  <c r="E135" i="1"/>
  <c r="H135" i="1"/>
  <c r="F135" i="1"/>
  <c r="F141" i="1"/>
  <c r="G139" i="1"/>
  <c r="C135" i="1"/>
  <c r="H137" i="1"/>
  <c r="G136" i="1"/>
  <c r="D141" i="1"/>
  <c r="H142" i="1"/>
  <c r="G141" i="1"/>
  <c r="F142" i="1"/>
  <c r="C141" i="1"/>
  <c r="E140" i="1"/>
  <c r="D135" i="1"/>
  <c r="E139" i="1"/>
  <c r="C145" i="1"/>
  <c r="G145" i="1"/>
  <c r="G140" i="1"/>
  <c r="D145" i="1"/>
  <c r="D140" i="1"/>
  <c r="D136" i="1"/>
  <c r="C140" i="1"/>
  <c r="H139" i="1"/>
  <c r="E136" i="1"/>
  <c r="F140" i="1"/>
  <c r="E141" i="1"/>
  <c r="C139" i="1"/>
  <c r="G143" i="1"/>
  <c r="G134" i="1"/>
  <c r="E145" i="1"/>
  <c r="H145" i="1"/>
  <c r="C147" i="1"/>
  <c r="D143" i="1"/>
  <c r="E143" i="1"/>
  <c r="E134" i="1"/>
  <c r="F143" i="1"/>
  <c r="F147" i="1"/>
  <c r="F134" i="1"/>
  <c r="H127" i="1"/>
  <c r="D147" i="1"/>
  <c r="H136" i="1"/>
  <c r="H143" i="1"/>
  <c r="H147" i="1"/>
  <c r="H134" i="1"/>
  <c r="C134" i="1"/>
  <c r="F139" i="1"/>
  <c r="G147" i="1"/>
  <c r="C136" i="1"/>
  <c r="C98" i="1"/>
  <c r="C96" i="1" s="1"/>
  <c r="C99" i="1"/>
  <c r="C113" i="1"/>
  <c r="C111" i="1" s="1"/>
  <c r="C109" i="1" s="1"/>
  <c r="C107" i="1"/>
  <c r="C105" i="1" s="1"/>
  <c r="C103" i="1"/>
  <c r="C101" i="1" s="1"/>
  <c r="H89" i="1" l="1"/>
  <c r="H90" i="1" s="1"/>
  <c r="H70" i="1" s="1"/>
  <c r="E5" i="1" s="1"/>
  <c r="G90" i="1"/>
  <c r="F148" i="1"/>
  <c r="G148" i="1"/>
  <c r="C148" i="1"/>
  <c r="C76" i="1" s="1"/>
  <c r="C78" i="1" s="1"/>
  <c r="C72" i="1" s="1"/>
  <c r="E148" i="1"/>
  <c r="D148" i="1"/>
  <c r="H148" i="1"/>
  <c r="C94" i="1"/>
  <c r="C70" i="1" l="1"/>
  <c r="E3" i="1" s="1"/>
  <c r="E7" i="1" s="1"/>
</calcChain>
</file>

<file path=xl/sharedStrings.xml><?xml version="1.0" encoding="utf-8"?>
<sst xmlns="http://schemas.openxmlformats.org/spreadsheetml/2006/main" count="510" uniqueCount="294">
  <si>
    <t>HDFC POINTS SYSTEM</t>
  </si>
  <si>
    <t>Project Name:</t>
  </si>
  <si>
    <t xml:space="preserve"> </t>
  </si>
  <si>
    <t>Points Available</t>
  </si>
  <si>
    <t>Points Scored</t>
  </si>
  <si>
    <t>Negative Points (Manually enter as a negative)</t>
  </si>
  <si>
    <t>Total:</t>
  </si>
  <si>
    <t>Affordability (Maximum 45 Points)</t>
  </si>
  <si>
    <t>Section Total Points Scored:</t>
  </si>
  <si>
    <t>Projects that meet any one of the following criteria shall receive 45 points:</t>
  </si>
  <si>
    <t>(1)</t>
  </si>
  <si>
    <r>
      <rPr>
        <b/>
        <u/>
        <sz val="12"/>
        <color theme="1"/>
        <rFont val="Aptos Narrow (Body)"/>
      </rPr>
      <t>Rural Housing:</t>
    </r>
    <r>
      <rPr>
        <b/>
        <sz val="12"/>
        <color theme="1"/>
        <rFont val="Aptos Narrow"/>
        <scheme val="minor"/>
      </rPr>
      <t xml:space="preserve"> </t>
    </r>
    <r>
      <rPr>
        <sz val="12"/>
        <color theme="1"/>
        <rFont val="Aptos Narrow"/>
        <scheme val="minor"/>
      </rPr>
      <t>Projects where the average affordability of Restricted Units is less than or equal to 60% AMI, with at least 10% of Units restricted at or below 40% AMI.</t>
    </r>
  </si>
  <si>
    <t>(2)</t>
  </si>
  <si>
    <r>
      <rPr>
        <b/>
        <u/>
        <sz val="12"/>
        <color theme="1"/>
        <rFont val="Aptos Narrow (Body)"/>
      </rPr>
      <t xml:space="preserve">Special Needs and Supportive Housing Types: </t>
    </r>
    <r>
      <rPr>
        <sz val="12"/>
        <color theme="1"/>
        <rFont val="Aptos Narrow"/>
        <scheme val="minor"/>
      </rPr>
      <t>Projects where the average affordability of Restricted Units is less than or equal to 60% AMI, with at least 25% of Units restricted at or below 30% AMI for Special Needs Populations. Supportive Housing Projects serving Special Needs Populations may also qualify here as long as they meet the Supportive Housing Target Population for HSC §50675.14.</t>
    </r>
  </si>
  <si>
    <t>(3)</t>
  </si>
  <si>
    <r>
      <rPr>
        <b/>
        <u/>
        <sz val="12"/>
        <color theme="1"/>
        <rFont val="Aptos Narrow (Body)"/>
      </rPr>
      <t xml:space="preserve">All others: </t>
    </r>
    <r>
      <rPr>
        <sz val="12"/>
        <color theme="1"/>
        <rFont val="Aptos Narrow"/>
        <scheme val="minor"/>
      </rPr>
      <t>For projects where the average affordability of Restricted Units is less than or equal to 60% AMI, with at least 10% of Units restricted at or below 30% AMI.</t>
    </r>
  </si>
  <si>
    <t>Housing Type (Maximum 35 points)</t>
  </si>
  <si>
    <t>Please select one Housing Type, if applicable:</t>
  </si>
  <si>
    <t>New Construction Projects</t>
  </si>
  <si>
    <t>Large Family Housing</t>
  </si>
  <si>
    <t xml:space="preserve">Consistent with requirements adopted by CTCAC for “Large family projects” pursuant to 4 CCR § 10325(g), to be considered Large Family housing, the project must have at least twenty-five percent (25%) of the Units shall be three-bedroom or larger Units and an additional twenty-five percent (25%) of the Units shall be two-bedroom or larger Units, in addition to meeting other requirements as further defined by CTCAC in 4 CCR § 10325(g)(1). </t>
  </si>
  <si>
    <t>Senior Housing</t>
  </si>
  <si>
    <t xml:space="preserve">Consistent with requirements adopted by CTCAC for “Senior projects” pursuant to 4 CCR § 10325(g), to be considered Senior Housing, all Units shall be restricted to households eligible under applicable provisions of California Civil Code §§ 51.3 and 51.3.5 and the federal Fair Housing Act and further be subject to Fair Housing Laws with respect to Senior Housing. As applicable, Projects with Senior Units receiving project-based § 8 rental subsidy, or other applicable Federal rental subsidies that specifically prohibit a senior restriction, may use a senior preference for senior unit leasing, in compliance with U.S. Code Title 42 Chapter 8 Subchapter I § 1437f, in addition to meeting other requirements as further defined by CTCAC in 4 CCR § 10325(g)(2). </t>
  </si>
  <si>
    <t>Farmworker Housing</t>
  </si>
  <si>
    <t>To qualify as Farmworker Housing, a Project must meet the following requirements:</t>
  </si>
  <si>
    <t xml:space="preserve">i. At least twenty-five percent (25%) of the Units are available to and occupied by Agricultural Households. </t>
  </si>
  <si>
    <t>ii. The Project shall adopt and implement an occupancy preference policy for households occupied by Agricultural Workers. This policy shall apply to all Restricted Units at initial lease‑up and at each subsequent household turnover.</t>
  </si>
  <si>
    <t>iii. The Project’s tenant screening and selection procedures must incorporate this occupancy preference, including a requirement that Agricultural Households receive priority for the next available Restricted Unit, in the order in which their application is received by the Property Manager.</t>
  </si>
  <si>
    <t>(4)</t>
  </si>
  <si>
    <t>Special Needs Housing</t>
  </si>
  <si>
    <t xml:space="preserve">To qualify as Special Needs Housing, a Project must have a greater of fifteen (15) Restricted Units or twenty-five percent (25%) of the Restricted Units reserved for Special Needs Population(s). The fifteen (15) Low-Income Unit minimum shall not apply to a Project with committed HUD § 811 funding. The Project must provide a preliminary Supportive Service plan as described in HDFC Regulations Section 32100 and in CTCAC under 4 CCR § 10325(g)(3)(I) addressing the needs of the Target Population at the time of application. Special Needs Housing applications shall also meet all requirements of 4 CCR § 10325(g)(3). Below are exceptions to 4 CCR § 10325(g)(3) for HDFC-regulated Projects: </t>
  </si>
  <si>
    <t xml:space="preserve">i. Exempt from average targeted income for the Special Needs Units of no more than forty percent (40%) of AMI and consistent with points requested in 4 CCR § 10325(c)(6); </t>
  </si>
  <si>
    <t xml:space="preserve">ii. Exempt from requirement for any development with less than seventy-five (75%) of the Low-Income Units serving Special Needs Population(s), the non-Special Needs Units shall either: (i) meet the Large Family or Senior Housing Type; or (ii) consist of at least twenty percent (20%) one-bedroom Units and at least ten percent (10%) larger than one-bedroom Units. </t>
  </si>
  <si>
    <t>(5)</t>
  </si>
  <si>
    <t>Supportive Housing</t>
  </si>
  <si>
    <t xml:space="preserve">To qualify as Supportive Housing, as that term is defined in HSC § 50675.14(c)(1), a Project must meet the following: </t>
  </si>
  <si>
    <t>i. Forty percent (40%) of the Restricted Units are reserved for people experiencing Chronic Homelessness or youth Homelessness or exiting institutions, as defined also in HDFC Regulations Chapter 3, Article 1, Section 33001.</t>
  </si>
  <si>
    <t xml:space="preserve">ii. Must provide a preliminary Supportive Service plan as described in HDFC Regulations Section 32100 and in 4 CCR § 10325(g)(3)(I). </t>
  </si>
  <si>
    <t>(6)</t>
  </si>
  <si>
    <t>Tribal Housing</t>
  </si>
  <si>
    <t>To qualify as Tribal Housing, the Sponsor must be a Tribal Entity or the Project must be located on Tribal Land.</t>
  </si>
  <si>
    <t>(7)</t>
  </si>
  <si>
    <t>High Density Housing</t>
  </si>
  <si>
    <t>To qualify as High-Density Housing, a Project must meet HDFC’s required minimum Net Density (dwelling Units per acre) at completion, based on the Project’s location category, as defined below. This Housing Type will be capped after twenty-five (25%) of all funding is awarded. The four (4) Project location categories are defined as follows:</t>
  </si>
  <si>
    <t>Location Category</t>
  </si>
  <si>
    <t>Minimum Net Density Requirements</t>
  </si>
  <si>
    <t>Large City Downtown</t>
  </si>
  <si>
    <t>Minimum of 60 Units/acre for residential-only Projects, minimum of &gt;3.0 FAR for Mixed-Use Projects</t>
  </si>
  <si>
    <t>Urban Center</t>
  </si>
  <si>
    <t>Minimum of 40 Units/ acre for residential-only Projects, minimum of &gt;2.0 FAR for Mixed-Use Projects</t>
  </si>
  <si>
    <t>All Other Areas</t>
  </si>
  <si>
    <t>Minimum of 25 Units/ acre for residential-only Projects, minimum of &gt;1.5 FAR for Mixed-Use Projects</t>
  </si>
  <si>
    <t>Rural</t>
  </si>
  <si>
    <t>Minimum of 15 Units/ acre for residential-only Projects, minimum of &gt;1.0 FAR for Mixed-Use Projects</t>
  </si>
  <si>
    <t>Rehabilitation and/or Preservation Housing</t>
  </si>
  <si>
    <t>25-Point Rehab/Preservation Project</t>
  </si>
  <si>
    <r>
      <t xml:space="preserve">A Project meeting </t>
    </r>
    <r>
      <rPr>
        <b/>
        <i/>
        <sz val="12"/>
        <color theme="1"/>
        <rFont val="Aptos Narrow"/>
        <scheme val="minor"/>
      </rPr>
      <t>any</t>
    </r>
    <r>
      <rPr>
        <sz val="12"/>
        <color theme="1"/>
        <rFont val="Aptos Narrow"/>
        <scheme val="minor"/>
      </rPr>
      <t xml:space="preserve"> of the following criteria will receive 25 points:</t>
    </r>
  </si>
  <si>
    <t>i. At-Risk Project</t>
  </si>
  <si>
    <t>ii. A replacement or Rehabilitation Project approved by HUD pursuant to a Section 18 or 22 Demolition/Disposition authorization.</t>
  </si>
  <si>
    <t>iii. A Project being rehabilitated under the HUD Rental Assistance Demonstration (RAD) Program, or a Rehabilitation Project that has received a new Section 515 loan from the United States Department of Agriculture</t>
  </si>
  <si>
    <t>iv. A Project that received an award from HCD’s Portfolio Reinvestment Program</t>
  </si>
  <si>
    <t>v. A Project with a pre-1999 HCD loan</t>
  </si>
  <si>
    <t>20 Point Rehab/Preservation Project</t>
  </si>
  <si>
    <r>
      <t xml:space="preserve">A Project that does not qualify for any of the criteria in (1)(A) above and meets </t>
    </r>
    <r>
      <rPr>
        <b/>
        <sz val="12"/>
        <color theme="1"/>
        <rFont val="Aptos Narrow"/>
        <scheme val="minor"/>
      </rPr>
      <t>either of</t>
    </r>
    <r>
      <rPr>
        <sz val="12"/>
        <color theme="1"/>
        <rFont val="Aptos Narrow"/>
        <scheme val="minor"/>
      </rPr>
      <t xml:space="preserve"> the following criteria will receive 20 points:	</t>
    </r>
  </si>
  <si>
    <t>i. A Project with at least $120,000 in hard construction costs per tax credit unit and is replacing at least two major building systems</t>
  </si>
  <si>
    <t xml:space="preserve">ii. A Project applying with SRO Housing, as defined in 4 CCR § 10325(g) of the CTCAC regulations, and the Rehabilitation will add a bathroom and complete kitchen to each unit.  </t>
  </si>
  <si>
    <t>10 Point Rehab/Preservation Project</t>
  </si>
  <si>
    <r>
      <t xml:space="preserve">A Project meeting </t>
    </r>
    <r>
      <rPr>
        <b/>
        <sz val="12"/>
        <color theme="1"/>
        <rFont val="Aptos Narrow"/>
        <scheme val="minor"/>
      </rPr>
      <t>all of</t>
    </r>
    <r>
      <rPr>
        <sz val="12"/>
        <color theme="1"/>
        <rFont val="Aptos Narrow"/>
        <scheme val="minor"/>
      </rPr>
      <t xml:space="preserve"> the following will receive 10 points:</t>
    </r>
  </si>
  <si>
    <t>i. The Project does not result in a distribution of net project equity, as that term is defined in 4 CCR § 10302(gg) of the CTCAC regulations, to a general partner or a related party to the general partner. For purposes of this subparagraph, there may be a buyout of a limited partner or equity distributed to a third-party seller.</t>
  </si>
  <si>
    <t>ii. There is no partial or full repayment of existing soft financing, except for loans less than or equal to the greater of $500,000 or 1.5% of the Project’s total development costs or for temporary repayments that will be restored in the permanent financing.</t>
  </si>
  <si>
    <t xml:space="preserve">iii. The application’s Developer Fee limit pursuant to 4 CCR § 10327(c)(2) is further limited to a cash-out Developer Fee no greater than 80% of the CTCAC cash-out Developer Fee limit.  </t>
  </si>
  <si>
    <t>Climate and Location Priorities (Maximum 20 Points)</t>
  </si>
  <si>
    <t>AHSC and/or TOD Project</t>
  </si>
  <si>
    <t>Projects developed on Tribal Land (20 Points)</t>
  </si>
  <si>
    <t>High or Highest Resource Location (20 Points, 15 points with AHSC and/or TOD Project)</t>
  </si>
  <si>
    <r>
      <t xml:space="preserve"> Total Site and Service Amenities Points per 4 CCR § 10325(C)(4)(A) of CTCAC Regulations </t>
    </r>
    <r>
      <rPr>
        <b/>
        <u/>
        <sz val="12"/>
        <color rgb="FFFF0000"/>
        <rFont val="Aptos Narrow"/>
        <scheme val="minor"/>
      </rPr>
      <t>(15 points maximum)</t>
    </r>
    <r>
      <rPr>
        <sz val="12"/>
        <color theme="1"/>
        <rFont val="Aptos Narrow"/>
        <scheme val="minor"/>
      </rPr>
      <t>, except:</t>
    </r>
  </si>
  <si>
    <t>i. Projects in Rural locations will automatically receive 3 points for any proximity to a park or community center accessible to the general public.</t>
  </si>
  <si>
    <t>Enter as total CTCAC Amenity Points</t>
  </si>
  <si>
    <t>ii. Projects in Rural locations will receive 3 points for being located within 5 miles of a qualifying medical clinic with a physician, physician's assistant, or nurse practitioner onsite for a minimum of 40 hours each week, or hospital, and 2 points for being located within 10 miles.</t>
  </si>
  <si>
    <t>Additional Pathways:</t>
  </si>
  <si>
    <t>Projects without AHSC and/or TOD - Maximum of 5 Points</t>
  </si>
  <si>
    <t>Dropdowns</t>
  </si>
  <si>
    <t>i. Project is located in a ProHousing compliant jurisdiction.</t>
  </si>
  <si>
    <t>ii. Project is being developed on State Excess Site(s).</t>
  </si>
  <si>
    <t>Housing Type</t>
  </si>
  <si>
    <t>Points</t>
  </si>
  <si>
    <t>iii. Project is being developed on Local Surplus Land in compliance with the Surplus Land Act.</t>
  </si>
  <si>
    <t>iv. Project is located in a Rural Disadvantaged Community.</t>
  </si>
  <si>
    <t>v. Project is located in a Federal Disaster Area.</t>
  </si>
  <si>
    <t>Projects with AHSC and/or TOD - Maximum of 5 points</t>
  </si>
  <si>
    <t>ii. Project is within 1 mile of existing, planned, or previously funded GGRF (AHSC, TCC, TIRCP, or ATP) projects.</t>
  </si>
  <si>
    <t>Rehab - (1)</t>
  </si>
  <si>
    <t>iii. Project is located in a Disadvantaged Community.</t>
  </si>
  <si>
    <t>Rehab - (2)</t>
  </si>
  <si>
    <t>iv. Project that provides one parking space or less for every two Units.</t>
  </si>
  <si>
    <t>Rehab - (3)</t>
  </si>
  <si>
    <t>v. Location Efficiency of the Project site as determined by the US EPA Walkability index using the address of the Project site:</t>
  </si>
  <si>
    <t>Most Walkable (Dark Green; 15.25-20)</t>
  </si>
  <si>
    <t>Above Average Walkable ( Light Green; 10.51-15.25)</t>
  </si>
  <si>
    <t>vi. Provide at least one Secure Overnight Bicycle Parking space for every two Units.</t>
  </si>
  <si>
    <t>vii. Provide free or discounted transit passes to all residents for not less than three (3) years.</t>
  </si>
  <si>
    <t>Documentation requirements and supporting documentation requirements are still under development and will be revised prior to final application issuance</t>
  </si>
  <si>
    <t>HDFC TIE BREAKER</t>
  </si>
  <si>
    <t>Total Benefit Numerator</t>
  </si>
  <si>
    <t>÷</t>
  </si>
  <si>
    <t>Cost Adjusted Request Amount Denominator</t>
  </si>
  <si>
    <t>TIE BREAKER</t>
  </si>
  <si>
    <t>Enter data in blue cells only</t>
  </si>
  <si>
    <t>Project Information + Tiebreaker Characteristics</t>
  </si>
  <si>
    <t>Selection</t>
  </si>
  <si>
    <t>Project Name</t>
  </si>
  <si>
    <t>County</t>
  </si>
  <si>
    <t>Community-Based Developer</t>
  </si>
  <si>
    <t>See HDFC Regulations Section 34000</t>
  </si>
  <si>
    <t>Resource Area</t>
  </si>
  <si>
    <t xml:space="preserve">See CTCAC/HCD Opportunity Map </t>
  </si>
  <si>
    <t>Experiencing Neighborhood Change</t>
  </si>
  <si>
    <t>See CDLAC Regulations Section 5106(f)</t>
  </si>
  <si>
    <t>Located &amp; Included in Community Revitalization Area</t>
  </si>
  <si>
    <t>Large Family Housing Type</t>
  </si>
  <si>
    <t>See CTCAC Regulations Section 10325(g)</t>
  </si>
  <si>
    <t>Supportive Housing Type</t>
  </si>
  <si>
    <t xml:space="preserve">See HDFC Regulations Section 32040(e) </t>
  </si>
  <si>
    <t>Special Needs Housing Type</t>
  </si>
  <si>
    <t>See HDFC Regulations Section 32040(d)</t>
  </si>
  <si>
    <t># of Special Needs/Homeless Units</t>
  </si>
  <si>
    <t>Acq/Rehab w/ lower rents than CTCAC Rent Limits</t>
  </si>
  <si>
    <t>Prevailing Wage</t>
  </si>
  <si>
    <t>Project Labor Agreement or Similar</t>
  </si>
  <si>
    <t>See CDLAC Regulations Section 5106(f)(2)(B)</t>
  </si>
  <si>
    <t>Seismic/Environmental Mitigation Cost</t>
  </si>
  <si>
    <r>
      <t xml:space="preserve">Acq/Rehab </t>
    </r>
    <r>
      <rPr>
        <sz val="12"/>
        <rFont val="Aptos Narrow (Body)"/>
      </rPr>
      <t>projects</t>
    </r>
    <r>
      <rPr>
        <b/>
        <sz val="12"/>
        <color rgb="FFFF0000"/>
        <rFont val="Aptos Narrow (Body)"/>
      </rPr>
      <t xml:space="preserve"> </t>
    </r>
    <r>
      <rPr>
        <sz val="12"/>
        <color theme="1"/>
        <rFont val="Aptos Narrow"/>
        <family val="2"/>
        <scheme val="minor"/>
      </rPr>
      <t xml:space="preserve">ONLY requiring seismic upgrades or on-site environmental remediation. Enter actual cost of upgrades or remediation. </t>
    </r>
  </si>
  <si>
    <t>Project Financing</t>
  </si>
  <si>
    <t>9% or 4% LIHTC</t>
  </si>
  <si>
    <t>Aggregate Basis</t>
  </si>
  <si>
    <t>Depreciable basis plus land basis (land and land-related costs) for 4% LIHTC projects.</t>
  </si>
  <si>
    <t>HDFC Resources Requested</t>
  </si>
  <si>
    <t>Tax Exempt Bonds</t>
  </si>
  <si>
    <t>Amount of Tax Exempt Bonds requested from HDFC and CDLAC. $0 for 9% LIHTC Projects</t>
  </si>
  <si>
    <t>HDFC Funds</t>
  </si>
  <si>
    <t>Excludes: Previously state awarded funds; MHP Supportive Services Grant; MHP Supportive Housing COSR</t>
  </si>
  <si>
    <t>Includes AHSC?</t>
  </si>
  <si>
    <t>Select if anticipated HDFC gap request includes AHSC</t>
  </si>
  <si>
    <t>MHP COSR</t>
  </si>
  <si>
    <t>Total MHP COSR Request. Requests up to $3,000,000 will not affect tiebreaker. Requests over $3,000,000 will factor into the tiebreaker</t>
  </si>
  <si>
    <t>CTCAC Resources Projected</t>
  </si>
  <si>
    <t>9% LIHTC (annual)</t>
  </si>
  <si>
    <t>$0 for 4% LIHTC Projects</t>
  </si>
  <si>
    <t>State Tax Credits - 4% New Construction</t>
  </si>
  <si>
    <t xml:space="preserve">State Tax Credits for 4% LIHTC New Construction projects ONLY. </t>
  </si>
  <si>
    <t>State Tax Credits - All Others</t>
  </si>
  <si>
    <t xml:space="preserve">State Tax Credits for all 9% LIHTC projects, along with acquisition/ rehab 4% LIHTC projects. </t>
  </si>
  <si>
    <t>Only complete this table if the project is an acq/rehab with rents that are lower than CTCAC rents.</t>
  </si>
  <si>
    <t>Enter unit totals at appropriate AMI levels. AMI levels may be adjusted using dropdown menus if necessary.</t>
  </si>
  <si>
    <t>Unit totals should be entered in the columns C:H, enter monthly per-unit rents in columns L:Q</t>
  </si>
  <si>
    <r>
      <t>If some units at a given AMI tier have a rental subsidy and some do not, enter the</t>
    </r>
    <r>
      <rPr>
        <i/>
        <sz val="12"/>
        <color rgb="FFFF0000"/>
        <rFont val="Aptos Narrow (Body)"/>
      </rPr>
      <t>m</t>
    </r>
    <r>
      <rPr>
        <i/>
        <sz val="12"/>
        <color rgb="FFFF0000"/>
        <rFont val="Aptos Narrow"/>
        <family val="2"/>
        <scheme val="minor"/>
      </rPr>
      <t xml:space="preserve"> on two separate </t>
    </r>
    <r>
      <rPr>
        <i/>
        <sz val="12"/>
        <color rgb="FFFF0000"/>
        <rFont val="Aptos Narrow (Body)"/>
      </rPr>
      <t>rows</t>
    </r>
    <r>
      <rPr>
        <i/>
        <sz val="12"/>
        <color rgb="FFFF0000"/>
        <rFont val="Aptos Narrow"/>
        <family val="2"/>
        <scheme val="minor"/>
      </rPr>
      <t>.</t>
    </r>
  </si>
  <si>
    <t>Acq/ Rehab Rents Lower than CTCAC - Average Rent Charged Over the Prev. 3 Yrs</t>
  </si>
  <si>
    <t>Affordability Mix</t>
  </si>
  <si>
    <t>Studio</t>
  </si>
  <si>
    <t>1BR</t>
  </si>
  <si>
    <t>2BR</t>
  </si>
  <si>
    <t>3BR</t>
  </si>
  <si>
    <t>4BR</t>
  </si>
  <si>
    <t>5BR</t>
  </si>
  <si>
    <t>Total</t>
  </si>
  <si>
    <t>AMI Tier</t>
  </si>
  <si>
    <t>Total Restricted Units</t>
  </si>
  <si>
    <t>Avg. Affordability - Restricted Units</t>
  </si>
  <si>
    <t>Manager</t>
  </si>
  <si>
    <t>Total Units</t>
  </si>
  <si>
    <t>Rent Savings Benefit</t>
  </si>
  <si>
    <t>Resource Request</t>
  </si>
  <si>
    <t>Adjustment Factor</t>
  </si>
  <si>
    <t>Tax Exempt Bond Request</t>
  </si>
  <si>
    <t>Restricted Unit Monthly FMR Rents</t>
  </si>
  <si>
    <t>9% LIHTC Request (Total)</t>
  </si>
  <si>
    <t>Monthly Rent - Standard Project</t>
  </si>
  <si>
    <t>Monthly Rent - Acq/ Rehab w/ Low Rents</t>
  </si>
  <si>
    <t>HDFC Resource Request</t>
  </si>
  <si>
    <t>Applicable Rents</t>
  </si>
  <si>
    <t>Population Benefit</t>
  </si>
  <si>
    <t>VLI Benefit</t>
  </si>
  <si>
    <t>Unit Type</t>
  </si>
  <si>
    <r>
      <rPr>
        <i/>
        <sz val="12"/>
        <rFont val="Aptos Narrow (Body)"/>
      </rPr>
      <t>No.</t>
    </r>
    <r>
      <rPr>
        <i/>
        <sz val="12"/>
        <rFont val="Aptos Narrow"/>
        <family val="2"/>
        <scheme val="minor"/>
      </rPr>
      <t xml:space="preserve"> Units</t>
    </r>
  </si>
  <si>
    <t>Per Unit Benefit</t>
  </si>
  <si>
    <t>30% AMI or Less</t>
  </si>
  <si>
    <t>Initially Adjusted Request</t>
  </si>
  <si>
    <t>35% AMI</t>
  </si>
  <si>
    <t>40% AMI</t>
  </si>
  <si>
    <t>Prevailing Wage Adjustment</t>
  </si>
  <si>
    <t>45% AMI</t>
  </si>
  <si>
    <t>PLA Adjustment</t>
  </si>
  <si>
    <t>50% AMI</t>
  </si>
  <si>
    <t>SWBD Adjustment</t>
  </si>
  <si>
    <t>Seismic Adjustment</t>
  </si>
  <si>
    <t>Special Populations Benefit</t>
  </si>
  <si>
    <t>Total Adjustment Factor</t>
  </si>
  <si>
    <r>
      <rPr>
        <i/>
        <sz val="12"/>
        <rFont val="Aptos Narrow (Body)"/>
      </rPr>
      <t>No.</t>
    </r>
    <r>
      <rPr>
        <i/>
        <sz val="12"/>
        <rFont val="Aptos Narrow"/>
        <scheme val="minor"/>
      </rPr>
      <t xml:space="preserve"> Units</t>
    </r>
  </si>
  <si>
    <t>Special Needs Units (Max. 25% of units, 50% if Special Needs or Supportive Housing Type)</t>
  </si>
  <si>
    <t>Location Benefit</t>
  </si>
  <si>
    <t>Resource Area Benefit</t>
  </si>
  <si>
    <t>Benefit Type</t>
  </si>
  <si>
    <t>Bedroom Adj. Units</t>
  </si>
  <si>
    <t>Exp. Neighborhood Change</t>
  </si>
  <si>
    <t>Community Revitalization Area Benefit</t>
  </si>
  <si>
    <t>CRA Benefit</t>
  </si>
  <si>
    <t>Community Based Developer Benefit</t>
  </si>
  <si>
    <t>Greenhouse Gas Reduction Benefit</t>
  </si>
  <si>
    <t>Do not modify data tables + formulas below</t>
  </si>
  <si>
    <t>County Statistics</t>
  </si>
  <si>
    <t>County TBL:</t>
  </si>
  <si>
    <t>County FMR:</t>
  </si>
  <si>
    <t>County 100% AMI Rent:</t>
  </si>
  <si>
    <t>Adjusted Unit Calculation Table</t>
  </si>
  <si>
    <t>4BR+</t>
  </si>
  <si>
    <t>Tax Credit Units</t>
  </si>
  <si>
    <t>Adjusted Unit Counts</t>
  </si>
  <si>
    <t>Adjusted Count</t>
  </si>
  <si>
    <t>Rent Benefit Rents</t>
  </si>
  <si>
    <t>Lower than CTCAC Rent Benefits</t>
  </si>
  <si>
    <t>DATA TABLES -- DO NOT DELETE -- TBLs AND FMRs CURRENT AS OF 2026</t>
  </si>
  <si>
    <t>Adjustment Factors for Statewide Basis Delta</t>
  </si>
  <si>
    <t>Basis Delta</t>
  </si>
  <si>
    <t>Statewide</t>
  </si>
  <si>
    <t>TBL</t>
  </si>
  <si>
    <t>Over Lowest</t>
  </si>
  <si>
    <t>Basis</t>
  </si>
  <si>
    <t>Fair Market Rents</t>
  </si>
  <si>
    <t>Adjust</t>
  </si>
  <si>
    <t>Rent Limits</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</si>
  <si>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</si>
  <si>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</si>
  <si>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</si>
  <si>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</si>
  <si>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</si>
  <si>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</si>
  <si>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</si>
  <si>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</si>
  <si>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</si>
  <si>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</si>
  <si>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</si>
  <si>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</si>
  <si>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</si>
  <si>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</si>
  <si>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</si>
  <si>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</si>
  <si>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</si>
  <si>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</si>
  <si>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</si>
  <si>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</si>
  <si>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</si>
  <si>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</si>
  <si>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</si>
  <si>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</si>
  <si>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</si>
  <si>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</si>
  <si>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</si>
  <si>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</si>
  <si>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</si>
  <si>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</si>
  <si>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</si>
  <si>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</si>
  <si>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</si>
  <si>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</si>
  <si>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</si>
  <si>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</si>
  <si>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</si>
  <si>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</si>
  <si>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</si>
  <si>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</si>
  <si>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</si>
  <si>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</si>
  <si>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</si>
  <si>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</si>
  <si>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</si>
  <si>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</si>
  <si>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</si>
  <si>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</si>
  <si>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</si>
  <si>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</si>
  <si>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</si>
  <si>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</si>
  <si>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</si>
  <si>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</si>
  <si>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</si>
  <si>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</si>
  <si>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</si>
  <si>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</si>
  <si>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Total of Above</t>
  </si>
  <si>
    <t>Lists</t>
  </si>
  <si>
    <t>Highest</t>
  </si>
  <si>
    <t>High</t>
  </si>
  <si>
    <t>Moderate</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</si>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</sst>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quot;$&quot;#,##0.00"/>
  </numFmts>
  <fonts count="35">
    <font>
      <sz val="12"/>
      <color theme="1"/>
      <name val="Aptos Narrow"/>
      <family val="2"/>
      <scheme val="minor"/>
    </font>
    <font>
      <sz val="12"/>
      <color theme="1"/>
      <name val="Aptos Narrow"/>
      <family val="2"/>
      <scheme val="minor"/>
    </font>
    <font>
      <b/>
      <sz val="12"/>
      <color theme="1"/>
      <name val="Aptos Narrow"/>
      <scheme val="minor"/>
    </font>
    <font>
      <sz val="10"/>
      <name val="Geneva"/>
      <family val="2"/>
    </font>
    <font>
      <b/>
      <sz val="10"/>
      <name val="Geneva"/>
      <family val="2"/>
    </font>
    <font>
      <sz val="10"/>
      <name val="Arial"/>
      <family val="2"/>
    </font>
    <font>
      <sz val="12"/>
      <color theme="1"/>
      <name val="Aptos Narrow"/>
      <scheme val="minor"/>
    </font>
    <font>
      <b/>
      <sz val="10"/>
      <name val="Arial"/>
      <family val="2"/>
    </font>
    <font>
      <b/>
      <sz val="12"/>
      <color rgb="FFFF0000"/>
      <name val="Aptos Narrow (Body)"/>
    </font>
    <font>
      <sz val="12"/>
      <name val="Aptos Narrow"/>
      <family val="2"/>
      <scheme val="minor"/>
    </font>
    <font>
      <b/>
      <sz val="12"/>
      <name val="Aptos Narrow (Body)"/>
    </font>
    <font>
      <sz val="12"/>
      <name val="Aptos Narrow (Body)"/>
    </font>
    <font>
      <sz val="12"/>
      <name val="Aptos Narrow"/>
      <scheme val="minor"/>
    </font>
    <font>
      <b/>
      <sz val="12"/>
      <name val="Aptos Narrow"/>
      <scheme val="minor"/>
    </font>
    <font>
      <b/>
      <sz val="12"/>
      <color rgb="FFFF0000"/>
      <name val="Aptos Narrow"/>
      <scheme val="minor"/>
    </font>
    <font>
      <sz val="12"/>
      <color rgb="FFFF0000"/>
      <name val="Aptos Narrow"/>
      <scheme val="minor"/>
    </font>
    <font>
      <i/>
      <u/>
      <sz val="12"/>
      <color theme="1"/>
      <name val="Aptos Narrow"/>
      <scheme val="minor"/>
    </font>
    <font>
      <b/>
      <sz val="12"/>
      <color theme="9" tint="0.39997558519241921"/>
      <name val="Aptos Narrow"/>
      <scheme val="minor"/>
    </font>
    <font>
      <b/>
      <u/>
      <sz val="12"/>
      <color rgb="FFFF0000"/>
      <name val="Aptos Narrow"/>
      <scheme val="minor"/>
    </font>
    <font>
      <b/>
      <i/>
      <sz val="12"/>
      <color theme="1"/>
      <name val="Aptos Narrow"/>
      <scheme val="minor"/>
    </font>
    <font>
      <b/>
      <i/>
      <sz val="12"/>
      <name val="Aptos Narrow"/>
      <scheme val="minor"/>
    </font>
    <font>
      <b/>
      <u/>
      <sz val="12"/>
      <color theme="1"/>
      <name val="Aptos Narrow"/>
      <scheme val="minor"/>
    </font>
    <font>
      <i/>
      <sz val="12"/>
      <color theme="1"/>
      <name val="Aptos Narrow"/>
      <scheme val="minor"/>
    </font>
    <font>
      <b/>
      <u/>
      <sz val="12"/>
      <color theme="1"/>
      <name val="Aptos Narrow (Body)"/>
    </font>
    <font>
      <b/>
      <sz val="12"/>
      <color rgb="FF000000"/>
      <name val="Aptos Narrow"/>
      <scheme val="minor"/>
    </font>
    <font>
      <sz val="11"/>
      <color rgb="FFFF0000"/>
      <name val="Aptos Narrow"/>
      <scheme val="minor"/>
    </font>
    <font>
      <b/>
      <sz val="20"/>
      <color theme="0"/>
      <name val="Arial"/>
      <family val="2"/>
    </font>
    <font>
      <i/>
      <sz val="12"/>
      <name val="Aptos Narrow"/>
      <scheme val="minor"/>
    </font>
    <font>
      <i/>
      <sz val="12"/>
      <name val="Aptos Narrow (Body)"/>
    </font>
    <font>
      <i/>
      <sz val="12"/>
      <name val="Aptos Narrow"/>
      <family val="2"/>
      <scheme val="minor"/>
    </font>
    <font>
      <i/>
      <sz val="12"/>
      <color theme="1"/>
      <name val="Aptos Narrow"/>
      <family val="2"/>
      <scheme val="minor"/>
    </font>
    <font>
      <b/>
      <sz val="26"/>
      <color theme="0"/>
      <name val="Aptos Narrow"/>
      <scheme val="minor"/>
    </font>
    <font>
      <i/>
      <sz val="12"/>
      <color rgb="FFFF0000"/>
      <name val="Aptos Narrow"/>
      <scheme val="minor"/>
    </font>
    <font>
      <i/>
      <sz val="12"/>
      <color rgb="FFFF0000"/>
      <name val="Aptos Narrow"/>
      <family val="2"/>
      <scheme val="minor"/>
    </font>
    <font>
      <i/>
      <sz val="12"/>
      <color rgb="FFFF0000"/>
      <name val="Aptos Narrow (Body)"/>
    </font>
  </fonts>
  <fills count="10">
    <fill>
      <patternFill patternType="none"/>
    </fill>
    <fill>
      <patternFill patternType="gray125"/>
    </fill>
    <fill>
      <patternFill patternType="solid">
        <fgColor rgb="FFFF00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0" tint="-0.249977111117893"/>
        <bgColor indexed="64"/>
      </patternFill>
    </fill>
    <fill>
      <patternFill patternType="solid">
        <fgColor theme="7" tint="-0.499984740745262"/>
        <bgColor indexed="64"/>
      </patternFill>
    </fill>
    <fill>
      <patternFill patternType="solid">
        <fgColor theme="0" tint="-4.9989318521683403E-2"/>
        <bgColor indexed="64"/>
      </patternFill>
    </fill>
    <fill>
      <patternFill patternType="solid">
        <fgColor theme="0"/>
        <bgColor indexed="64"/>
      </patternFill>
    </fill>
  </fills>
  <borders count="71">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indexed="64"/>
      </right>
      <top style="medium">
        <color indexed="64"/>
      </top>
      <bottom style="thin">
        <color auto="1"/>
      </bottom>
      <diagonal/>
    </border>
    <border>
      <left/>
      <right/>
      <top style="thin">
        <color auto="1"/>
      </top>
      <bottom/>
      <diagonal/>
    </border>
    <border>
      <left style="medium">
        <color indexed="64"/>
      </left>
      <right/>
      <top style="medium">
        <color indexed="64"/>
      </top>
      <bottom/>
      <diagonal/>
    </border>
    <border>
      <left style="medium">
        <color indexed="64"/>
      </left>
      <right style="thin">
        <color indexed="64"/>
      </right>
      <top style="hair">
        <color indexed="64"/>
      </top>
      <bottom style="hair">
        <color indexed="64"/>
      </bottom>
      <diagonal/>
    </border>
    <border>
      <left style="thin">
        <color indexed="64"/>
      </left>
      <right style="medium">
        <color auto="1"/>
      </right>
      <top style="hair">
        <color indexed="64"/>
      </top>
      <bottom style="hair">
        <color indexed="64"/>
      </bottom>
      <diagonal/>
    </border>
    <border>
      <left style="medium">
        <color indexed="64"/>
      </left>
      <right style="thin">
        <color indexed="64"/>
      </right>
      <top style="hair">
        <color indexed="64"/>
      </top>
      <bottom style="medium">
        <color auto="1"/>
      </bottom>
      <diagonal/>
    </border>
    <border>
      <left style="thin">
        <color indexed="64"/>
      </left>
      <right style="medium">
        <color auto="1"/>
      </right>
      <top style="hair">
        <color indexed="64"/>
      </top>
      <bottom style="medium">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auto="1"/>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auto="1"/>
      </right>
      <top style="hair">
        <color indexed="64"/>
      </top>
      <bottom style="hair">
        <color indexed="64"/>
      </bottom>
      <diagonal/>
    </border>
    <border>
      <left style="thin">
        <color indexed="64"/>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indexed="64"/>
      </left>
      <right style="thin">
        <color indexed="64"/>
      </right>
      <top/>
      <bottom style="hair">
        <color indexed="64"/>
      </bottom>
      <diagonal/>
    </border>
    <border>
      <left style="thin">
        <color indexed="64"/>
      </left>
      <right style="medium">
        <color auto="1"/>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auto="1"/>
      </right>
      <top/>
      <bottom style="hair">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auto="1"/>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auto="1"/>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bottom style="double">
        <color indexed="64"/>
      </bottom>
      <diagonal/>
    </border>
    <border>
      <left/>
      <right style="medium">
        <color auto="1"/>
      </right>
      <top style="thin">
        <color indexed="64"/>
      </top>
      <bottom/>
      <diagonal/>
    </border>
    <border>
      <left style="medium">
        <color indexed="64"/>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style="medium">
        <color auto="1"/>
      </right>
      <top style="double">
        <color indexed="64"/>
      </top>
      <bottom style="hair">
        <color indexed="64"/>
      </bottom>
      <diagonal/>
    </border>
    <border>
      <left/>
      <right/>
      <top/>
      <bottom style="double">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style="medium">
        <color auto="1"/>
      </top>
      <bottom/>
      <diagonal/>
    </border>
    <border>
      <left/>
      <right style="thin">
        <color indexed="64"/>
      </right>
      <top/>
      <bottom style="thin">
        <color indexed="64"/>
      </bottom>
      <diagonal/>
    </border>
    <border>
      <left/>
      <right style="thin">
        <color indexed="64"/>
      </right>
      <top style="thin">
        <color indexed="64"/>
      </top>
      <bottom style="medium">
        <color auto="1"/>
      </bottom>
      <diagonal/>
    </border>
    <border>
      <left style="medium">
        <color indexed="64"/>
      </left>
      <right style="medium">
        <color auto="1"/>
      </right>
      <top style="hair">
        <color indexed="64"/>
      </top>
      <bottom style="medium">
        <color auto="1"/>
      </bottom>
      <diagonal/>
    </border>
    <border>
      <left style="medium">
        <color indexed="64"/>
      </left>
      <right/>
      <top style="hair">
        <color indexed="64"/>
      </top>
      <bottom style="medium">
        <color auto="1"/>
      </bottom>
      <diagonal/>
    </border>
    <border>
      <left/>
      <right/>
      <top style="double">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92">
    <xf numFmtId="0" fontId="0" fillId="0" borderId="0" xfId="0"/>
    <xf numFmtId="0" fontId="2" fillId="0" borderId="0" xfId="0" applyFont="1"/>
    <xf numFmtId="164" fontId="5" fillId="4" borderId="0" xfId="1" applyNumberFormat="1" applyFont="1" applyFill="1" applyBorder="1"/>
    <xf numFmtId="165" fontId="5" fillId="4" borderId="0" xfId="2" applyNumberFormat="1" applyFont="1" applyFill="1" applyBorder="1"/>
    <xf numFmtId="164" fontId="5" fillId="4" borderId="0" xfId="1" applyNumberFormat="1" applyFont="1" applyFill="1" applyBorder="1" applyAlignment="1">
      <alignment horizontal="right"/>
    </xf>
    <xf numFmtId="164" fontId="5" fillId="4" borderId="0" xfId="1" applyNumberFormat="1" applyFont="1" applyFill="1" applyBorder="1" applyAlignment="1">
      <alignment horizontal="center"/>
    </xf>
    <xf numFmtId="165" fontId="5" fillId="4" borderId="0" xfId="2" applyNumberFormat="1" applyFont="1" applyFill="1" applyBorder="1" applyAlignment="1">
      <alignment horizontal="center"/>
    </xf>
    <xf numFmtId="164" fontId="5" fillId="4" borderId="1" xfId="1" applyNumberFormat="1" applyFont="1" applyFill="1" applyBorder="1"/>
    <xf numFmtId="9" fontId="5" fillId="4" borderId="1" xfId="2" applyFont="1" applyFill="1" applyBorder="1"/>
    <xf numFmtId="164" fontId="5" fillId="4" borderId="2" xfId="1" applyNumberFormat="1" applyFont="1" applyFill="1" applyBorder="1"/>
    <xf numFmtId="9" fontId="5" fillId="4" borderId="2" xfId="2" applyFont="1" applyFill="1" applyBorder="1"/>
    <xf numFmtId="164" fontId="5" fillId="4" borderId="3" xfId="1" applyNumberFormat="1" applyFont="1" applyFill="1" applyBorder="1"/>
    <xf numFmtId="9" fontId="5" fillId="4" borderId="3" xfId="2" applyFont="1" applyFill="1" applyBorder="1"/>
    <xf numFmtId="0" fontId="5" fillId="4" borderId="0" xfId="0" applyFont="1" applyFill="1" applyAlignment="1">
      <alignment horizontal="center"/>
    </xf>
    <xf numFmtId="0" fontId="5" fillId="4" borderId="0" xfId="0" applyFont="1" applyFill="1"/>
    <xf numFmtId="0" fontId="3" fillId="2" borderId="4" xfId="0" applyFont="1" applyFill="1" applyBorder="1"/>
    <xf numFmtId="0" fontId="0" fillId="2" borderId="5" xfId="0" applyFill="1" applyBorder="1"/>
    <xf numFmtId="0" fontId="4" fillId="3" borderId="5" xfId="0" applyFont="1" applyFill="1" applyBorder="1"/>
    <xf numFmtId="0" fontId="0" fillId="3" borderId="5" xfId="0" applyFill="1" applyBorder="1"/>
    <xf numFmtId="0" fontId="5" fillId="4" borderId="8" xfId="0" applyFont="1" applyFill="1" applyBorder="1"/>
    <xf numFmtId="0" fontId="0" fillId="4" borderId="0" xfId="0" applyFill="1"/>
    <xf numFmtId="0" fontId="5" fillId="4" borderId="8" xfId="0" applyFont="1" applyFill="1" applyBorder="1" applyAlignment="1">
      <alignment horizontal="center"/>
    </xf>
    <xf numFmtId="0" fontId="5" fillId="4" borderId="9" xfId="0" applyFont="1" applyFill="1" applyBorder="1" applyAlignment="1">
      <alignment horizontal="center"/>
    </xf>
    <xf numFmtId="0" fontId="5" fillId="4" borderId="9" xfId="0" applyFont="1" applyFill="1" applyBorder="1"/>
    <xf numFmtId="0" fontId="5" fillId="4" borderId="10" xfId="0" applyFont="1" applyFill="1" applyBorder="1"/>
    <xf numFmtId="0" fontId="5" fillId="4" borderId="11" xfId="0" applyFont="1" applyFill="1" applyBorder="1"/>
    <xf numFmtId="0" fontId="0" fillId="2" borderId="13" xfId="0" applyFill="1" applyBorder="1"/>
    <xf numFmtId="0" fontId="5" fillId="4" borderId="14" xfId="0" applyFont="1" applyFill="1" applyBorder="1"/>
    <xf numFmtId="0" fontId="0" fillId="4" borderId="14" xfId="0" applyFill="1" applyBorder="1"/>
    <xf numFmtId="0" fontId="0" fillId="4" borderId="9" xfId="0" applyFill="1" applyBorder="1"/>
    <xf numFmtId="0" fontId="0" fillId="4" borderId="11" xfId="0" applyFill="1" applyBorder="1"/>
    <xf numFmtId="0" fontId="0" fillId="4" borderId="12" xfId="0" applyFill="1" applyBorder="1"/>
    <xf numFmtId="44" fontId="0" fillId="0" borderId="0" xfId="0" applyNumberFormat="1"/>
    <xf numFmtId="1" fontId="0" fillId="0" borderId="0" xfId="0" applyNumberFormat="1"/>
    <xf numFmtId="0" fontId="6" fillId="0" borderId="0" xfId="0" applyFont="1" applyAlignment="1">
      <alignment horizontal="right"/>
    </xf>
    <xf numFmtId="0" fontId="0" fillId="0" borderId="0" xfId="0" applyAlignment="1">
      <alignment horizontal="center"/>
    </xf>
    <xf numFmtId="0" fontId="0" fillId="0" borderId="16" xfId="0" applyBorder="1"/>
    <xf numFmtId="0" fontId="0" fillId="0" borderId="16" xfId="0" applyBorder="1" applyAlignment="1">
      <alignment wrapText="1"/>
    </xf>
    <xf numFmtId="0" fontId="0" fillId="0" borderId="18" xfId="0" applyBorder="1"/>
    <xf numFmtId="0" fontId="0" fillId="0" borderId="20" xfId="0" applyBorder="1"/>
    <xf numFmtId="0" fontId="0" fillId="0" borderId="17" xfId="0" applyBorder="1"/>
    <xf numFmtId="0" fontId="0" fillId="0" borderId="18" xfId="0" applyBorder="1" applyAlignment="1">
      <alignment wrapText="1"/>
    </xf>
    <xf numFmtId="0" fontId="0" fillId="0" borderId="21" xfId="0" applyBorder="1"/>
    <xf numFmtId="44" fontId="0" fillId="5" borderId="20" xfId="0" applyNumberFormat="1" applyFill="1" applyBorder="1"/>
    <xf numFmtId="0" fontId="0" fillId="0" borderId="22" xfId="0" applyBorder="1"/>
    <xf numFmtId="0" fontId="0" fillId="0" borderId="23" xfId="0" applyBorder="1"/>
    <xf numFmtId="0" fontId="0" fillId="0" borderId="24" xfId="0" applyBorder="1"/>
    <xf numFmtId="0" fontId="0" fillId="0" borderId="26" xfId="0" applyBorder="1"/>
    <xf numFmtId="9" fontId="0" fillId="5" borderId="16" xfId="0" applyNumberFormat="1" applyFill="1" applyBorder="1"/>
    <xf numFmtId="1" fontId="0" fillId="5" borderId="20" xfId="0" applyNumberFormat="1" applyFill="1" applyBorder="1"/>
    <xf numFmtId="44" fontId="0" fillId="5" borderId="17" xfId="0" applyNumberFormat="1" applyFill="1" applyBorder="1"/>
    <xf numFmtId="9" fontId="2" fillId="0" borderId="16" xfId="0" applyNumberFormat="1" applyFont="1" applyBorder="1" applyAlignment="1">
      <alignment horizontal="right"/>
    </xf>
    <xf numFmtId="1" fontId="2" fillId="0" borderId="20" xfId="0" applyNumberFormat="1" applyFont="1" applyBorder="1"/>
    <xf numFmtId="44" fontId="0" fillId="0" borderId="17" xfId="0" applyNumberFormat="1" applyBorder="1"/>
    <xf numFmtId="9" fontId="0" fillId="0" borderId="16" xfId="0" applyNumberFormat="1" applyBorder="1" applyAlignment="1">
      <alignment horizontal="right"/>
    </xf>
    <xf numFmtId="9" fontId="2" fillId="0" borderId="18" xfId="0" applyNumberFormat="1" applyFont="1" applyBorder="1" applyAlignment="1">
      <alignment horizontal="right"/>
    </xf>
    <xf numFmtId="1" fontId="2" fillId="0" borderId="21" xfId="0" applyNumberFormat="1" applyFont="1" applyBorder="1"/>
    <xf numFmtId="44" fontId="0" fillId="0" borderId="19" xfId="0" applyNumberFormat="1" applyBorder="1"/>
    <xf numFmtId="0" fontId="0" fillId="4" borderId="7" xfId="0" applyFill="1" applyBorder="1"/>
    <xf numFmtId="9" fontId="0" fillId="4" borderId="9" xfId="0" applyNumberFormat="1" applyFill="1" applyBorder="1"/>
    <xf numFmtId="0" fontId="0" fillId="4" borderId="8" xfId="0" applyFill="1" applyBorder="1"/>
    <xf numFmtId="9" fontId="0" fillId="4" borderId="8" xfId="0" applyNumberFormat="1" applyFill="1" applyBorder="1"/>
    <xf numFmtId="0" fontId="0" fillId="4" borderId="10" xfId="0" applyFill="1" applyBorder="1"/>
    <xf numFmtId="0" fontId="0" fillId="4" borderId="6" xfId="0" applyFill="1" applyBorder="1"/>
    <xf numFmtId="44" fontId="0" fillId="4" borderId="0" xfId="0" applyNumberFormat="1" applyFill="1"/>
    <xf numFmtId="44" fontId="0" fillId="4" borderId="9" xfId="0" applyNumberFormat="1" applyFill="1" applyBorder="1"/>
    <xf numFmtId="9" fontId="2" fillId="4" borderId="8" xfId="0" applyNumberFormat="1" applyFont="1" applyFill="1" applyBorder="1" applyAlignment="1">
      <alignment horizontal="right"/>
    </xf>
    <xf numFmtId="1" fontId="0" fillId="4" borderId="0" xfId="0" applyNumberFormat="1" applyFill="1"/>
    <xf numFmtId="1" fontId="6" fillId="4" borderId="9" xfId="0" applyNumberFormat="1" applyFont="1" applyFill="1" applyBorder="1"/>
    <xf numFmtId="0" fontId="7" fillId="4" borderId="15" xfId="0" applyFont="1" applyFill="1" applyBorder="1"/>
    <xf numFmtId="0" fontId="2" fillId="4" borderId="15" xfId="0" applyFont="1" applyFill="1" applyBorder="1"/>
    <xf numFmtId="0" fontId="2" fillId="4" borderId="6" xfId="0" applyFont="1" applyFill="1" applyBorder="1"/>
    <xf numFmtId="0" fontId="2" fillId="4" borderId="7" xfId="0" applyFont="1" applyFill="1" applyBorder="1"/>
    <xf numFmtId="0" fontId="6" fillId="0" borderId="28" xfId="0" applyFont="1" applyBorder="1"/>
    <xf numFmtId="1" fontId="0" fillId="5" borderId="20" xfId="0" quotePrefix="1" applyNumberFormat="1" applyFill="1" applyBorder="1"/>
    <xf numFmtId="0" fontId="0" fillId="0" borderId="28" xfId="0" applyBorder="1"/>
    <xf numFmtId="0" fontId="6" fillId="0" borderId="28" xfId="0" applyFont="1" applyBorder="1" applyAlignment="1">
      <alignment wrapText="1"/>
    </xf>
    <xf numFmtId="0" fontId="0" fillId="0" borderId="31" xfId="0" applyBorder="1"/>
    <xf numFmtId="0" fontId="0" fillId="0" borderId="32" xfId="0" applyBorder="1"/>
    <xf numFmtId="0" fontId="0" fillId="0" borderId="33" xfId="0" applyBorder="1"/>
    <xf numFmtId="9" fontId="0" fillId="5" borderId="28" xfId="0" applyNumberFormat="1" applyFill="1" applyBorder="1"/>
    <xf numFmtId="1" fontId="0" fillId="5" borderId="30" xfId="0" applyNumberFormat="1" applyFill="1" applyBorder="1"/>
    <xf numFmtId="44" fontId="0" fillId="5" borderId="29" xfId="0" applyNumberFormat="1" applyFill="1" applyBorder="1"/>
    <xf numFmtId="44" fontId="0" fillId="0" borderId="29" xfId="0" applyNumberFormat="1" applyBorder="1"/>
    <xf numFmtId="0" fontId="2" fillId="0" borderId="34" xfId="0" applyFont="1" applyBorder="1"/>
    <xf numFmtId="0" fontId="2" fillId="0" borderId="35" xfId="0" applyFont="1" applyBorder="1" applyAlignment="1">
      <alignment horizontal="center"/>
    </xf>
    <xf numFmtId="0" fontId="0" fillId="0" borderId="37" xfId="0" applyBorder="1"/>
    <xf numFmtId="0" fontId="0" fillId="0" borderId="38" xfId="0" applyBorder="1"/>
    <xf numFmtId="0" fontId="2" fillId="0" borderId="34" xfId="0" applyFont="1" applyBorder="1" applyAlignment="1">
      <alignment wrapText="1"/>
    </xf>
    <xf numFmtId="44" fontId="2" fillId="0" borderId="35" xfId="0" applyNumberFormat="1" applyFont="1" applyBorder="1"/>
    <xf numFmtId="44" fontId="2" fillId="0" borderId="36" xfId="0" applyNumberFormat="1" applyFont="1" applyBorder="1"/>
    <xf numFmtId="0" fontId="0" fillId="0" borderId="35" xfId="0" applyBorder="1"/>
    <xf numFmtId="10" fontId="2" fillId="0" borderId="20" xfId="0" applyNumberFormat="1" applyFont="1" applyBorder="1"/>
    <xf numFmtId="1" fontId="2" fillId="0" borderId="19" xfId="0" applyNumberFormat="1" applyFont="1" applyBorder="1"/>
    <xf numFmtId="44" fontId="2" fillId="0" borderId="17" xfId="0" applyNumberFormat="1" applyFont="1" applyBorder="1"/>
    <xf numFmtId="44" fontId="0" fillId="0" borderId="21" xfId="0" applyNumberFormat="1" applyBorder="1"/>
    <xf numFmtId="44" fontId="0" fillId="5" borderId="30" xfId="0" applyNumberFormat="1" applyFill="1" applyBorder="1"/>
    <xf numFmtId="0" fontId="2" fillId="0" borderId="36" xfId="0" applyFont="1" applyBorder="1" applyAlignment="1">
      <alignment horizontal="center"/>
    </xf>
    <xf numFmtId="44" fontId="2" fillId="4" borderId="14" xfId="0" applyNumberFormat="1" applyFont="1" applyFill="1" applyBorder="1" applyAlignment="1">
      <alignment horizontal="right"/>
    </xf>
    <xf numFmtId="44" fontId="2" fillId="4" borderId="14" xfId="0" applyNumberFormat="1" applyFont="1" applyFill="1" applyBorder="1"/>
    <xf numFmtId="44" fontId="2" fillId="4" borderId="44" xfId="0" applyNumberFormat="1" applyFont="1" applyFill="1" applyBorder="1"/>
    <xf numFmtId="44" fontId="6" fillId="0" borderId="17" xfId="0" applyNumberFormat="1" applyFont="1" applyBorder="1"/>
    <xf numFmtId="0" fontId="6" fillId="0" borderId="20" xfId="0" applyFont="1" applyBorder="1"/>
    <xf numFmtId="0" fontId="2" fillId="0" borderId="20" xfId="0" applyFont="1" applyBorder="1"/>
    <xf numFmtId="9" fontId="0" fillId="0" borderId="20" xfId="0" applyNumberFormat="1" applyBorder="1"/>
    <xf numFmtId="44" fontId="2" fillId="0" borderId="20" xfId="0" applyNumberFormat="1" applyFont="1" applyBorder="1"/>
    <xf numFmtId="10" fontId="0" fillId="0" borderId="20" xfId="0" applyNumberFormat="1" applyBorder="1"/>
    <xf numFmtId="166" fontId="0" fillId="5" borderId="20" xfId="0" applyNumberFormat="1" applyFill="1" applyBorder="1" applyAlignment="1">
      <alignment horizontal="center"/>
    </xf>
    <xf numFmtId="166" fontId="0" fillId="5" borderId="20" xfId="0" applyNumberFormat="1" applyFill="1" applyBorder="1"/>
    <xf numFmtId="166" fontId="0" fillId="0" borderId="17" xfId="0" applyNumberFormat="1" applyBorder="1"/>
    <xf numFmtId="9" fontId="6" fillId="0" borderId="20" xfId="0" applyNumberFormat="1" applyFont="1" applyBorder="1"/>
    <xf numFmtId="0" fontId="9" fillId="0" borderId="16" xfId="0" applyFont="1" applyBorder="1"/>
    <xf numFmtId="0" fontId="19" fillId="0" borderId="0" xfId="0" applyFont="1" applyAlignment="1">
      <alignment vertical="top"/>
    </xf>
    <xf numFmtId="0" fontId="20" fillId="0" borderId="0" xfId="0" applyFont="1" applyAlignment="1">
      <alignment vertical="top"/>
    </xf>
    <xf numFmtId="0" fontId="6" fillId="0" borderId="60" xfId="0" applyFont="1" applyBorder="1" applyAlignment="1">
      <alignment horizontal="center" vertical="top"/>
    </xf>
    <xf numFmtId="0" fontId="2" fillId="0" borderId="11" xfId="0" applyFont="1" applyBorder="1" applyAlignment="1">
      <alignment horizontal="right"/>
    </xf>
    <xf numFmtId="0" fontId="6" fillId="0" borderId="30" xfId="0" applyFont="1" applyBorder="1"/>
    <xf numFmtId="44" fontId="6" fillId="0" borderId="29" xfId="0" applyNumberFormat="1" applyFont="1" applyBorder="1"/>
    <xf numFmtId="0" fontId="2" fillId="0" borderId="36" xfId="0" applyFont="1" applyBorder="1" applyAlignment="1">
      <alignment wrapText="1"/>
    </xf>
    <xf numFmtId="44" fontId="2" fillId="0" borderId="37" xfId="0" applyNumberFormat="1" applyFont="1" applyBorder="1"/>
    <xf numFmtId="0" fontId="6" fillId="0" borderId="45" xfId="0" applyFont="1" applyBorder="1"/>
    <xf numFmtId="0" fontId="16"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0" fontId="21" fillId="0" borderId="0" xfId="0" applyFont="1" applyAlignment="1">
      <alignment vertical="top"/>
    </xf>
    <xf numFmtId="0" fontId="2" fillId="0" borderId="15" xfId="0" applyFont="1" applyBorder="1" applyAlignment="1">
      <alignment vertical="top"/>
    </xf>
    <xf numFmtId="0" fontId="2" fillId="0" borderId="49" xfId="0" applyFont="1" applyBorder="1" applyAlignment="1">
      <alignment horizontal="center" vertical="top" wrapText="1"/>
    </xf>
    <xf numFmtId="0" fontId="2" fillId="0" borderId="50" xfId="0" applyFont="1" applyBorder="1" applyAlignment="1">
      <alignment horizontal="center" vertical="top"/>
    </xf>
    <xf numFmtId="0" fontId="2" fillId="0" borderId="8" xfId="0" applyFont="1" applyBorder="1" applyAlignment="1">
      <alignment vertical="top"/>
    </xf>
    <xf numFmtId="0" fontId="2" fillId="0" borderId="0" xfId="0" applyFont="1" applyAlignment="1">
      <alignment vertical="top"/>
    </xf>
    <xf numFmtId="0" fontId="2" fillId="0" borderId="64" xfId="0" applyFont="1" applyBorder="1" applyAlignment="1">
      <alignment vertical="top"/>
    </xf>
    <xf numFmtId="0" fontId="2" fillId="0" borderId="51" xfId="0" applyFont="1" applyBorder="1" applyAlignment="1">
      <alignment horizontal="center" vertical="top"/>
    </xf>
    <xf numFmtId="0" fontId="2" fillId="0" borderId="52" xfId="0" applyFont="1" applyBorder="1" applyAlignment="1">
      <alignment horizontal="center" vertical="top"/>
    </xf>
    <xf numFmtId="0" fontId="2" fillId="0" borderId="53" xfId="0" applyFont="1" applyBorder="1" applyAlignment="1">
      <alignment horizontal="center" vertical="top"/>
    </xf>
    <xf numFmtId="0" fontId="2" fillId="0" borderId="54" xfId="0" applyFont="1" applyBorder="1" applyAlignment="1">
      <alignment horizontal="center" vertical="top"/>
    </xf>
    <xf numFmtId="0" fontId="14" fillId="0" borderId="61" xfId="0" applyFont="1" applyBorder="1" applyAlignment="1">
      <alignment vertical="top"/>
    </xf>
    <xf numFmtId="0" fontId="14" fillId="0" borderId="62" xfId="0" applyFont="1" applyBorder="1" applyAlignment="1">
      <alignment vertical="top"/>
    </xf>
    <xf numFmtId="0" fontId="14" fillId="0" borderId="66" xfId="0" applyFont="1" applyBorder="1" applyAlignment="1">
      <alignment vertical="top"/>
    </xf>
    <xf numFmtId="0" fontId="2" fillId="0" borderId="55" xfId="0" applyFont="1" applyBorder="1" applyAlignment="1">
      <alignment horizontal="center" vertical="top"/>
    </xf>
    <xf numFmtId="0" fontId="15" fillId="5" borderId="56" xfId="0" applyFont="1" applyFill="1" applyBorder="1" applyAlignment="1">
      <alignment horizontal="center" vertical="top"/>
    </xf>
    <xf numFmtId="0" fontId="15" fillId="0" borderId="0" xfId="0" applyFont="1" applyAlignment="1">
      <alignment vertical="top"/>
    </xf>
    <xf numFmtId="0" fontId="2" fillId="0" borderId="10" xfId="0" applyFont="1" applyBorder="1" applyAlignment="1">
      <alignment horizontal="right" vertical="top"/>
    </xf>
    <xf numFmtId="0" fontId="2" fillId="0" borderId="11" xfId="0" applyFont="1" applyBorder="1" applyAlignment="1">
      <alignment horizontal="right" vertical="top"/>
    </xf>
    <xf numFmtId="0" fontId="2" fillId="0" borderId="67" xfId="0" applyFont="1" applyBorder="1" applyAlignment="1">
      <alignment horizontal="right" vertical="top"/>
    </xf>
    <xf numFmtId="0" fontId="2" fillId="0" borderId="57" xfId="0" applyFont="1" applyBorder="1" applyAlignment="1">
      <alignment horizontal="center" vertical="top"/>
    </xf>
    <xf numFmtId="0" fontId="2" fillId="0" borderId="58" xfId="0" applyFont="1" applyBorder="1" applyAlignment="1">
      <alignment horizontal="center" vertical="top"/>
    </xf>
    <xf numFmtId="0" fontId="2" fillId="0" borderId="59" xfId="0" applyFont="1" applyBorder="1" applyAlignment="1">
      <alignment vertical="top"/>
    </xf>
    <xf numFmtId="0" fontId="2" fillId="0" borderId="37" xfId="0" applyFont="1" applyBorder="1" applyAlignment="1">
      <alignment vertical="top"/>
    </xf>
    <xf numFmtId="0" fontId="2" fillId="0" borderId="37" xfId="0" applyFont="1" applyBorder="1" applyAlignment="1">
      <alignment horizontal="right" vertical="top"/>
    </xf>
    <xf numFmtId="0" fontId="6" fillId="0" borderId="38" xfId="0" applyFont="1" applyBorder="1" applyAlignment="1">
      <alignment horizontal="center" vertical="top"/>
    </xf>
    <xf numFmtId="0" fontId="2" fillId="0" borderId="0" xfId="0" applyFont="1" applyAlignment="1">
      <alignment horizontal="right" vertical="top"/>
    </xf>
    <xf numFmtId="0" fontId="6" fillId="0" borderId="9" xfId="0" applyFont="1" applyBorder="1" applyAlignment="1">
      <alignment horizontal="center" vertical="top"/>
    </xf>
    <xf numFmtId="0" fontId="6" fillId="0" borderId="8" xfId="0" applyFont="1" applyBorder="1" applyAlignment="1">
      <alignment vertical="top"/>
    </xf>
    <xf numFmtId="0" fontId="6" fillId="5" borderId="60" xfId="0" applyFont="1" applyFill="1" applyBorder="1" applyAlignment="1">
      <alignment horizontal="center" vertical="top"/>
    </xf>
    <xf numFmtId="0" fontId="6" fillId="0" borderId="9" xfId="0" applyFont="1" applyBorder="1" applyAlignment="1">
      <alignment vertical="top"/>
    </xf>
    <xf numFmtId="0" fontId="6" fillId="0" borderId="10" xfId="0" applyFont="1" applyBorder="1" applyAlignment="1">
      <alignment vertical="top"/>
    </xf>
    <xf numFmtId="0" fontId="6" fillId="0" borderId="11" xfId="0" applyFont="1" applyBorder="1" applyAlignment="1">
      <alignment vertical="top"/>
    </xf>
    <xf numFmtId="0" fontId="6" fillId="0" borderId="12" xfId="0" applyFont="1" applyBorder="1" applyAlignment="1">
      <alignment vertical="top"/>
    </xf>
    <xf numFmtId="0" fontId="2" fillId="0" borderId="61" xfId="0" applyFont="1" applyBorder="1" applyAlignment="1">
      <alignment vertical="top"/>
    </xf>
    <xf numFmtId="0" fontId="2" fillId="0" borderId="62" xfId="0" applyFont="1" applyBorder="1" applyAlignment="1">
      <alignment vertical="top" wrapText="1"/>
    </xf>
    <xf numFmtId="0" fontId="2" fillId="0" borderId="0" xfId="0" applyFont="1" applyAlignment="1">
      <alignment vertical="top" wrapText="1"/>
    </xf>
    <xf numFmtId="0" fontId="2" fillId="0" borderId="9" xfId="0" applyFont="1" applyBorder="1" applyAlignment="1">
      <alignment vertical="top"/>
    </xf>
    <xf numFmtId="0" fontId="6" fillId="0" borderId="9" xfId="0" applyFont="1" applyBorder="1" applyAlignment="1">
      <alignment vertical="top" wrapText="1"/>
    </xf>
    <xf numFmtId="0" fontId="2" fillId="0" borderId="34" xfId="0" applyFont="1" applyBorder="1" applyAlignment="1">
      <alignment horizontal="center" vertical="top"/>
    </xf>
    <xf numFmtId="0" fontId="2" fillId="0" borderId="35" xfId="0" applyFont="1" applyBorder="1" applyAlignment="1">
      <alignment horizontal="center" vertical="top" wrapText="1"/>
    </xf>
    <xf numFmtId="0" fontId="6" fillId="0" borderId="28" xfId="0" applyFont="1" applyBorder="1" applyAlignment="1">
      <alignment vertical="top"/>
    </xf>
    <xf numFmtId="0" fontId="6" fillId="0" borderId="29" xfId="0" applyFont="1" applyBorder="1" applyAlignment="1">
      <alignment vertical="top" wrapText="1"/>
    </xf>
    <xf numFmtId="0" fontId="6" fillId="0" borderId="16" xfId="0" applyFont="1" applyBorder="1" applyAlignment="1">
      <alignment vertical="top"/>
    </xf>
    <xf numFmtId="0" fontId="6" fillId="0" borderId="17" xfId="0" applyFont="1" applyBorder="1" applyAlignment="1">
      <alignment vertical="top" wrapText="1"/>
    </xf>
    <xf numFmtId="0" fontId="15" fillId="0" borderId="62" xfId="0" applyFont="1" applyBorder="1" applyAlignment="1">
      <alignment vertical="top"/>
    </xf>
    <xf numFmtId="0" fontId="6" fillId="0" borderId="62" xfId="0" applyFont="1" applyBorder="1" applyAlignment="1">
      <alignment vertical="top"/>
    </xf>
    <xf numFmtId="0" fontId="6" fillId="0" borderId="0" xfId="0" applyFont="1" applyAlignment="1">
      <alignment horizontal="center" vertical="top"/>
    </xf>
    <xf numFmtId="0" fontId="6" fillId="0" borderId="63" xfId="0" applyFont="1" applyBorder="1" applyAlignment="1">
      <alignment vertical="top"/>
    </xf>
    <xf numFmtId="0" fontId="2" fillId="0" borderId="38" xfId="0" applyFont="1" applyBorder="1" applyAlignment="1">
      <alignment horizontal="center" vertical="top"/>
    </xf>
    <xf numFmtId="0" fontId="17" fillId="0" borderId="64" xfId="0" applyFont="1" applyBorder="1" applyAlignment="1">
      <alignment horizontal="center" vertical="top" wrapText="1"/>
    </xf>
    <xf numFmtId="0" fontId="13" fillId="0" borderId="64" xfId="0" applyFont="1" applyBorder="1" applyAlignment="1">
      <alignment horizontal="center" vertical="top" wrapText="1"/>
    </xf>
    <xf numFmtId="0" fontId="13" fillId="0" borderId="0" xfId="0" applyFont="1" applyAlignment="1">
      <alignment horizontal="center" vertical="top" wrapText="1"/>
    </xf>
    <xf numFmtId="0" fontId="12" fillId="0" borderId="0" xfId="0" applyFont="1" applyAlignment="1">
      <alignment vertical="top" wrapText="1"/>
    </xf>
    <xf numFmtId="0" fontId="12" fillId="0" borderId="0" xfId="0" applyFont="1" applyAlignment="1">
      <alignment vertical="top"/>
    </xf>
    <xf numFmtId="0" fontId="6" fillId="5" borderId="56" xfId="0" applyFont="1" applyFill="1" applyBorder="1" applyAlignment="1">
      <alignment horizontal="center" vertical="top"/>
    </xf>
    <xf numFmtId="0" fontId="0" fillId="6" borderId="8" xfId="0" applyFill="1" applyBorder="1" applyAlignment="1">
      <alignment vertical="top"/>
    </xf>
    <xf numFmtId="0" fontId="0" fillId="6" borderId="0" xfId="0" applyFill="1" applyAlignment="1">
      <alignment vertical="top"/>
    </xf>
    <xf numFmtId="0" fontId="0" fillId="6" borderId="9" xfId="0" applyFill="1" applyBorder="1" applyAlignment="1">
      <alignment vertical="top"/>
    </xf>
    <xf numFmtId="0" fontId="2" fillId="6" borderId="0" xfId="0" applyFont="1" applyFill="1" applyAlignment="1">
      <alignment vertical="top"/>
    </xf>
    <xf numFmtId="0" fontId="2" fillId="6" borderId="9" xfId="0" applyFont="1" applyFill="1" applyBorder="1" applyAlignment="1">
      <alignment vertical="top"/>
    </xf>
    <xf numFmtId="49" fontId="0" fillId="6" borderId="0" xfId="0" applyNumberFormat="1" applyFill="1" applyAlignment="1">
      <alignment vertical="top"/>
    </xf>
    <xf numFmtId="0" fontId="13" fillId="0" borderId="64" xfId="0" applyFont="1" applyBorder="1" applyAlignment="1">
      <alignment horizontal="right" vertical="top"/>
    </xf>
    <xf numFmtId="0" fontId="0" fillId="6" borderId="10" xfId="0" applyFill="1" applyBorder="1" applyAlignment="1">
      <alignment vertical="top"/>
    </xf>
    <xf numFmtId="0" fontId="0" fillId="6" borderId="11" xfId="0" applyFill="1" applyBorder="1" applyAlignment="1">
      <alignment vertical="top"/>
    </xf>
    <xf numFmtId="0" fontId="0" fillId="6" borderId="12" xfId="0" applyFill="1" applyBorder="1" applyAlignment="1">
      <alignment vertical="top"/>
    </xf>
    <xf numFmtId="0" fontId="6" fillId="0" borderId="0" xfId="0" applyFont="1" applyAlignment="1">
      <alignment horizontal="right" vertical="top"/>
    </xf>
    <xf numFmtId="0" fontId="22" fillId="0" borderId="0" xfId="0" applyFont="1" applyAlignment="1">
      <alignment vertical="top"/>
    </xf>
    <xf numFmtId="0" fontId="2" fillId="0" borderId="0" xfId="0" applyFont="1" applyAlignment="1">
      <alignment horizontal="left" vertical="top"/>
    </xf>
    <xf numFmtId="0" fontId="6" fillId="0" borderId="0" xfId="0" applyFont="1" applyAlignment="1">
      <alignment horizontal="left" vertical="top" indent="2"/>
    </xf>
    <xf numFmtId="49" fontId="6" fillId="0" borderId="8" xfId="0" applyNumberFormat="1" applyFont="1" applyBorder="1" applyAlignment="1">
      <alignment vertical="top"/>
    </xf>
    <xf numFmtId="49" fontId="2" fillId="0" borderId="8" xfId="0" applyNumberFormat="1" applyFont="1" applyBorder="1" applyAlignment="1">
      <alignment horizontal="right" vertical="top"/>
    </xf>
    <xf numFmtId="49" fontId="2" fillId="0" borderId="0" xfId="0" applyNumberFormat="1" applyFont="1" applyAlignment="1">
      <alignment horizontal="right" vertical="top"/>
    </xf>
    <xf numFmtId="0" fontId="2" fillId="0" borderId="8" xfId="0" applyFont="1" applyBorder="1" applyAlignment="1">
      <alignment vertical="top" wrapText="1"/>
    </xf>
    <xf numFmtId="0" fontId="6" fillId="0" borderId="69" xfId="0" applyFont="1" applyBorder="1" applyAlignment="1">
      <alignment vertical="top"/>
    </xf>
    <xf numFmtId="0" fontId="6" fillId="0" borderId="68" xfId="0" applyFont="1" applyBorder="1" applyAlignment="1">
      <alignment vertical="top" wrapText="1"/>
    </xf>
    <xf numFmtId="49" fontId="24" fillId="0" borderId="8" xfId="0" applyNumberFormat="1" applyFont="1" applyBorder="1" applyAlignment="1">
      <alignment horizontal="right" vertical="top"/>
    </xf>
    <xf numFmtId="0" fontId="25" fillId="0" borderId="9" xfId="0" applyFont="1" applyBorder="1" applyAlignment="1">
      <alignment horizontal="center" vertical="top" wrapText="1"/>
    </xf>
    <xf numFmtId="9" fontId="0" fillId="5" borderId="30" xfId="0" applyNumberFormat="1" applyFill="1" applyBorder="1" applyAlignment="1">
      <alignment horizontal="right"/>
    </xf>
    <xf numFmtId="0" fontId="0" fillId="0" borderId="15"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2" xfId="0" applyBorder="1"/>
    <xf numFmtId="10" fontId="2" fillId="0" borderId="11" xfId="2" applyNumberFormat="1" applyFont="1" applyBorder="1"/>
    <xf numFmtId="167" fontId="0" fillId="0" borderId="6" xfId="0" applyNumberFormat="1" applyBorder="1"/>
    <xf numFmtId="0" fontId="6" fillId="0" borderId="6" xfId="0" applyFont="1" applyBorder="1" applyAlignment="1">
      <alignment horizontal="right"/>
    </xf>
    <xf numFmtId="167" fontId="0" fillId="0" borderId="11" xfId="0" applyNumberFormat="1" applyBorder="1"/>
    <xf numFmtId="0" fontId="2" fillId="4" borderId="48" xfId="0" applyFont="1" applyFill="1" applyBorder="1"/>
    <xf numFmtId="44" fontId="2" fillId="4" borderId="48" xfId="0" applyNumberFormat="1" applyFont="1" applyFill="1" applyBorder="1"/>
    <xf numFmtId="0" fontId="0" fillId="0" borderId="70" xfId="0" applyBorder="1"/>
    <xf numFmtId="0" fontId="2" fillId="8" borderId="48" xfId="0" applyFont="1" applyFill="1" applyBorder="1"/>
    <xf numFmtId="44" fontId="2" fillId="8" borderId="48" xfId="0" applyNumberFormat="1" applyFont="1" applyFill="1" applyBorder="1"/>
    <xf numFmtId="0" fontId="0" fillId="8" borderId="48" xfId="0" applyFill="1" applyBorder="1"/>
    <xf numFmtId="0" fontId="6" fillId="0" borderId="31" xfId="0" applyFont="1" applyBorder="1"/>
    <xf numFmtId="166" fontId="0" fillId="0" borderId="19" xfId="0" applyNumberFormat="1" applyBorder="1"/>
    <xf numFmtId="0" fontId="2" fillId="0" borderId="18" xfId="0" applyFont="1" applyBorder="1"/>
    <xf numFmtId="10" fontId="2" fillId="0" borderId="21" xfId="0" applyNumberFormat="1" applyFont="1" applyBorder="1"/>
    <xf numFmtId="44" fontId="2" fillId="0" borderId="19" xfId="0" applyNumberFormat="1" applyFont="1" applyBorder="1"/>
    <xf numFmtId="0" fontId="9" fillId="0" borderId="18" xfId="0" applyFont="1" applyBorder="1" applyAlignment="1">
      <alignment vertical="top" wrapText="1"/>
    </xf>
    <xf numFmtId="0" fontId="2" fillId="0" borderId="42" xfId="0" applyFont="1" applyBorder="1" applyAlignment="1">
      <alignment horizontal="center"/>
    </xf>
    <xf numFmtId="0" fontId="2" fillId="0" borderId="43" xfId="0" applyFont="1" applyBorder="1" applyAlignment="1">
      <alignment horizontal="center"/>
    </xf>
    <xf numFmtId="1" fontId="0" fillId="0" borderId="29" xfId="0" applyNumberFormat="1" applyBorder="1" applyAlignment="1">
      <alignment horizontal="center"/>
    </xf>
    <xf numFmtId="1" fontId="0" fillId="0" borderId="17" xfId="0" applyNumberFormat="1" applyBorder="1" applyAlignment="1">
      <alignment horizontal="center"/>
    </xf>
    <xf numFmtId="1" fontId="2" fillId="0" borderId="17" xfId="0" applyNumberFormat="1" applyFont="1" applyBorder="1" applyAlignment="1">
      <alignment horizontal="center"/>
    </xf>
    <xf numFmtId="0" fontId="22" fillId="0" borderId="30" xfId="0" applyFont="1" applyBorder="1" applyAlignment="1">
      <alignment horizontal="right"/>
    </xf>
    <xf numFmtId="0" fontId="22" fillId="0" borderId="47" xfId="0" applyFont="1" applyBorder="1" applyAlignment="1">
      <alignment horizontal="right"/>
    </xf>
    <xf numFmtId="0" fontId="27" fillId="0" borderId="46" xfId="0" applyFont="1" applyBorder="1" applyAlignment="1">
      <alignment horizontal="right"/>
    </xf>
    <xf numFmtId="44" fontId="22" fillId="0" borderId="47" xfId="0" applyNumberFormat="1" applyFont="1" applyBorder="1" applyAlignment="1">
      <alignment horizontal="right"/>
    </xf>
    <xf numFmtId="0" fontId="29" fillId="0" borderId="30" xfId="0" applyFont="1" applyBorder="1" applyAlignment="1">
      <alignment horizontal="right"/>
    </xf>
    <xf numFmtId="0" fontId="30" fillId="0" borderId="29" xfId="0" applyFont="1" applyBorder="1" applyAlignment="1">
      <alignment horizontal="right"/>
    </xf>
    <xf numFmtId="44" fontId="0" fillId="5" borderId="40" xfId="0" applyNumberFormat="1" applyFill="1" applyBorder="1" applyAlignment="1">
      <alignment horizontal="right"/>
    </xf>
    <xf numFmtId="44" fontId="12" fillId="4" borderId="0" xfId="0" applyNumberFormat="1" applyFont="1" applyFill="1"/>
    <xf numFmtId="0" fontId="32" fillId="0" borderId="0" xfId="0" applyFont="1" applyAlignment="1">
      <alignment vertical="top"/>
    </xf>
    <xf numFmtId="0" fontId="2" fillId="0" borderId="0" xfId="0" applyFont="1" applyAlignment="1">
      <alignment horizontal="center"/>
    </xf>
    <xf numFmtId="44" fontId="2" fillId="0" borderId="0" xfId="0" applyNumberFormat="1" applyFont="1"/>
    <xf numFmtId="9" fontId="0" fillId="0" borderId="16" xfId="0" applyNumberFormat="1" applyBorder="1"/>
    <xf numFmtId="9" fontId="0" fillId="0" borderId="21" xfId="0" applyNumberFormat="1" applyBorder="1"/>
    <xf numFmtId="9" fontId="0" fillId="0" borderId="28" xfId="0" applyNumberFormat="1" applyBorder="1"/>
    <xf numFmtId="0" fontId="2" fillId="0" borderId="41" xfId="0" applyFont="1" applyBorder="1"/>
    <xf numFmtId="9" fontId="0" fillId="0" borderId="0" xfId="0" applyNumberFormat="1"/>
    <xf numFmtId="166" fontId="0" fillId="5" borderId="21" xfId="0" applyNumberFormat="1" applyFill="1" applyBorder="1" applyAlignment="1">
      <alignment vertical="top"/>
    </xf>
    <xf numFmtId="43" fontId="0" fillId="0" borderId="20" xfId="1" applyFont="1" applyBorder="1"/>
    <xf numFmtId="43" fontId="0" fillId="0" borderId="21" xfId="1" applyFont="1" applyBorder="1"/>
    <xf numFmtId="0" fontId="0" fillId="0" borderId="16" xfId="0" applyBorder="1" applyAlignment="1">
      <alignment horizontal="left" indent="3"/>
    </xf>
    <xf numFmtId="0" fontId="0" fillId="0" borderId="18" xfId="0" applyBorder="1" applyAlignment="1">
      <alignment horizontal="left" vertical="top" indent="3"/>
    </xf>
    <xf numFmtId="0" fontId="0" fillId="0" borderId="39" xfId="0" applyBorder="1" applyAlignment="1">
      <alignment horizontal="left" indent="3"/>
    </xf>
    <xf numFmtId="0" fontId="0" fillId="0" borderId="11" xfId="0" applyBorder="1"/>
    <xf numFmtId="44" fontId="0" fillId="0" borderId="11" xfId="0" applyNumberFormat="1" applyBorder="1"/>
    <xf numFmtId="0" fontId="6" fillId="0" borderId="11" xfId="0" applyFont="1" applyBorder="1" applyAlignment="1">
      <alignment horizontal="right"/>
    </xf>
    <xf numFmtId="1" fontId="0" fillId="0" borderId="11" xfId="0" applyNumberFormat="1" applyBorder="1"/>
    <xf numFmtId="0" fontId="32" fillId="0" borderId="11" xfId="0" applyFont="1" applyBorder="1"/>
    <xf numFmtId="0" fontId="10" fillId="0" borderId="34" xfId="0" applyFont="1" applyBorder="1"/>
    <xf numFmtId="0" fontId="0" fillId="0" borderId="31" xfId="0" applyBorder="1" applyAlignment="1">
      <alignment horizontal="left" vertical="center"/>
    </xf>
    <xf numFmtId="0" fontId="0" fillId="5" borderId="22" xfId="0" applyFill="1" applyBorder="1" applyAlignment="1">
      <alignment horizontal="center"/>
    </xf>
    <xf numFmtId="166" fontId="0" fillId="5" borderId="25" xfId="0" applyNumberFormat="1" applyFill="1" applyBorder="1" applyAlignment="1">
      <alignment horizontal="center" vertical="top"/>
    </xf>
    <xf numFmtId="0" fontId="33" fillId="0" borderId="0" xfId="0" applyFont="1"/>
    <xf numFmtId="0" fontId="32" fillId="0" borderId="0" xfId="0" applyFont="1"/>
    <xf numFmtId="0" fontId="0" fillId="0" borderId="39" xfId="0" applyBorder="1" applyAlignment="1">
      <alignment horizontal="left" indent="6"/>
    </xf>
    <xf numFmtId="9" fontId="0" fillId="9" borderId="30" xfId="0" applyNumberFormat="1" applyFill="1" applyBorder="1" applyAlignment="1">
      <alignment horizontal="right"/>
    </xf>
    <xf numFmtId="44" fontId="0" fillId="9" borderId="40" xfId="0" applyNumberFormat="1" applyFill="1" applyBorder="1" applyAlignment="1">
      <alignment horizontal="right"/>
    </xf>
    <xf numFmtId="0" fontId="0" fillId="9" borderId="22" xfId="0" applyFill="1" applyBorder="1" applyAlignment="1">
      <alignment horizontal="center"/>
    </xf>
    <xf numFmtId="0" fontId="6" fillId="0" borderId="16" xfId="0" applyFont="1" applyBorder="1" applyAlignment="1">
      <alignment wrapText="1"/>
    </xf>
    <xf numFmtId="0" fontId="2" fillId="0" borderId="16" xfId="0" applyFont="1" applyBorder="1" applyAlignment="1">
      <alignment wrapText="1"/>
    </xf>
    <xf numFmtId="9" fontId="0" fillId="0" borderId="30" xfId="0" applyNumberFormat="1" applyBorder="1" applyAlignment="1">
      <alignment horizontal="right"/>
    </xf>
    <xf numFmtId="42" fontId="0" fillId="5" borderId="30" xfId="0" applyNumberFormat="1" applyFill="1" applyBorder="1" applyAlignment="1">
      <alignment horizontal="right"/>
    </xf>
    <xf numFmtId="2" fontId="0" fillId="0" borderId="21" xfId="0" applyNumberFormat="1" applyBorder="1"/>
    <xf numFmtId="0" fontId="6" fillId="0" borderId="0" xfId="0" applyFont="1" applyAlignment="1">
      <alignment horizontal="left" vertical="top" wrapText="1"/>
    </xf>
    <xf numFmtId="0" fontId="6" fillId="0" borderId="0" xfId="0" applyFont="1" applyAlignment="1">
      <alignment horizontal="left" vertical="top" wrapText="1"/>
    </xf>
    <xf numFmtId="0" fontId="26" fillId="7" borderId="0" xfId="0" applyFont="1" applyFill="1" applyAlignment="1">
      <alignment horizontal="center" vertical="center"/>
    </xf>
    <xf numFmtId="0" fontId="6" fillId="5" borderId="6" xfId="0" applyFont="1" applyFill="1" applyBorder="1" applyAlignment="1">
      <alignment horizontal="left" vertical="top"/>
    </xf>
    <xf numFmtId="0" fontId="6" fillId="5" borderId="65" xfId="0" applyFont="1" applyFill="1" applyBorder="1" applyAlignment="1">
      <alignment horizontal="left" vertical="top"/>
    </xf>
    <xf numFmtId="0" fontId="6" fillId="0" borderId="0" xfId="0" applyFont="1" applyAlignment="1">
      <alignment horizontal="left" vertical="top" wrapText="1" indent="2"/>
    </xf>
    <xf numFmtId="0" fontId="2" fillId="6" borderId="15" xfId="0" applyFont="1" applyFill="1" applyBorder="1" applyAlignment="1">
      <alignment horizontal="center" vertical="top"/>
    </xf>
    <xf numFmtId="0" fontId="2" fillId="6" borderId="6" xfId="0" applyFont="1" applyFill="1" applyBorder="1" applyAlignment="1">
      <alignment horizontal="center" vertical="top"/>
    </xf>
    <xf numFmtId="0" fontId="2" fillId="6" borderId="7" xfId="0" applyFont="1" applyFill="1" applyBorder="1" applyAlignment="1">
      <alignment horizontal="center" vertical="top"/>
    </xf>
    <xf numFmtId="0" fontId="6" fillId="0" borderId="0" xfId="0" applyFont="1" applyAlignment="1">
      <alignment horizontal="left" vertical="top" wrapText="1" indent="3"/>
    </xf>
    <xf numFmtId="0" fontId="31" fillId="7" borderId="0" xfId="0" applyFont="1" applyFill="1" applyAlignment="1">
      <alignment horizontal="center" vertical="center"/>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2" fillId="0" borderId="34" xfId="0" applyFont="1" applyBorder="1" applyAlignment="1">
      <alignment horizontal="left"/>
    </xf>
    <xf numFmtId="0" fontId="2" fillId="0" borderId="36" xfId="0" applyFont="1" applyBorder="1" applyAlignment="1">
      <alignment horizontal="left"/>
    </xf>
    <xf numFmtId="0" fontId="2" fillId="0" borderId="35" xfId="0" applyFont="1" applyBorder="1" applyAlignment="1">
      <alignment horizontal="left"/>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4AD3-5D0B-B240-86C9-1EFAC3CF0CB0}">
  <sheetPr>
    <pageSetUpPr fitToPage="1"/>
  </sheetPr>
  <dimension ref="A1:K111"/>
  <sheetViews>
    <sheetView showGridLines="0" tabSelected="1" zoomScale="80" zoomScaleNormal="80" zoomScaleSheetLayoutView="110" workbookViewId="0">
      <selection activeCell="B17" sqref="B17"/>
    </sheetView>
  </sheetViews>
  <sheetFormatPr defaultColWidth="10.85546875" defaultRowHeight="15.9"/>
  <cols>
    <col min="1" max="1" width="4.640625" style="123" customWidth="1"/>
    <col min="2" max="2" width="12.640625" style="123" customWidth="1"/>
    <col min="3" max="3" width="18.140625" style="123" customWidth="1"/>
    <col min="4" max="4" width="83.85546875" style="123" customWidth="1"/>
    <col min="5" max="5" width="17.35546875" style="123" customWidth="1"/>
    <col min="6" max="6" width="17.85546875" style="123" customWidth="1"/>
    <col min="7" max="7" width="21.35546875" style="123" customWidth="1"/>
    <col min="8" max="9" width="11.140625" style="123" hidden="1" customWidth="1"/>
    <col min="10" max="10" width="12.35546875" style="123" hidden="1" customWidth="1"/>
    <col min="11" max="11" width="11.140625" style="123" hidden="1" customWidth="1"/>
    <col min="12" max="16384" width="10.85546875" style="123"/>
  </cols>
  <sheetData>
    <row r="1" spans="1:7" ht="37" customHeight="1">
      <c r="B1" s="274" t="s">
        <v>0</v>
      </c>
      <c r="C1" s="274"/>
      <c r="D1" s="274"/>
      <c r="E1" s="274"/>
      <c r="F1" s="274"/>
    </row>
    <row r="2" spans="1:7" ht="16.3" thickBot="1"/>
    <row r="3" spans="1:7">
      <c r="B3" s="125" t="s">
        <v>1</v>
      </c>
      <c r="C3" s="275" t="s">
        <v>2</v>
      </c>
      <c r="D3" s="276"/>
      <c r="E3" s="126" t="s">
        <v>3</v>
      </c>
      <c r="F3" s="127" t="s">
        <v>4</v>
      </c>
    </row>
    <row r="4" spans="1:7">
      <c r="B4" s="128" t="str">
        <f>B10</f>
        <v>Affordability (Maximum 45 Points)</v>
      </c>
      <c r="C4" s="129"/>
      <c r="D4" s="130"/>
      <c r="E4" s="131">
        <v>45</v>
      </c>
      <c r="F4" s="132">
        <f>F10</f>
        <v>0</v>
      </c>
    </row>
    <row r="5" spans="1:7">
      <c r="B5" s="128" t="str">
        <f>B20</f>
        <v>Housing Type (Maximum 35 points)</v>
      </c>
      <c r="C5" s="129"/>
      <c r="D5" s="130"/>
      <c r="E5" s="133">
        <v>35</v>
      </c>
      <c r="F5" s="134">
        <f>F20</f>
        <v>0</v>
      </c>
    </row>
    <row r="6" spans="1:7">
      <c r="B6" s="128" t="str">
        <f>B81</f>
        <v>Climate and Location Priorities (Maximum 20 Points)</v>
      </c>
      <c r="C6" s="129"/>
      <c r="D6" s="130"/>
      <c r="E6" s="133">
        <v>20</v>
      </c>
      <c r="F6" s="134">
        <f>F81</f>
        <v>0</v>
      </c>
    </row>
    <row r="7" spans="1:7">
      <c r="B7" s="135" t="s">
        <v>5</v>
      </c>
      <c r="C7" s="136"/>
      <c r="D7" s="137"/>
      <c r="E7" s="138"/>
      <c r="F7" s="139"/>
      <c r="G7" s="140"/>
    </row>
    <row r="8" spans="1:7" ht="16.3" thickBot="1">
      <c r="B8" s="141"/>
      <c r="C8" s="142"/>
      <c r="D8" s="143" t="s">
        <v>6</v>
      </c>
      <c r="E8" s="144">
        <f>SUM(E4:E6)</f>
        <v>100</v>
      </c>
      <c r="F8" s="145">
        <f>SUM(F4:F7)</f>
        <v>0</v>
      </c>
    </row>
    <row r="9" spans="1:7" ht="16.3" thickBot="1"/>
    <row r="10" spans="1:7" ht="16.3" thickBot="1">
      <c r="B10" s="146" t="s">
        <v>7</v>
      </c>
      <c r="C10" s="147"/>
      <c r="D10" s="148"/>
      <c r="E10" s="148" t="s">
        <v>8</v>
      </c>
      <c r="F10" s="149">
        <f>MAX(0,IF(F12="(1)",45,IF(F12="(2)",45,IF(F12="(3)",45,0))))</f>
        <v>0</v>
      </c>
    </row>
    <row r="11" spans="1:7" ht="16.3" thickTop="1">
      <c r="B11" s="128"/>
      <c r="C11" s="129"/>
      <c r="D11" s="150"/>
      <c r="E11" s="150"/>
      <c r="F11" s="151"/>
      <c r="G11" s="152"/>
    </row>
    <row r="12" spans="1:7">
      <c r="B12" s="128" t="s">
        <v>9</v>
      </c>
      <c r="C12" s="124"/>
      <c r="E12" s="121"/>
      <c r="F12" s="153"/>
    </row>
    <row r="13" spans="1:7" ht="36" customHeight="1">
      <c r="A13" s="154"/>
      <c r="B13" s="196" t="s">
        <v>10</v>
      </c>
      <c r="C13" s="273" t="s">
        <v>11</v>
      </c>
      <c r="D13" s="273"/>
      <c r="E13" s="122"/>
      <c r="F13" s="154"/>
    </row>
    <row r="14" spans="1:7">
      <c r="A14" s="154"/>
      <c r="B14" s="196"/>
      <c r="F14" s="154"/>
    </row>
    <row r="15" spans="1:7" ht="67" customHeight="1">
      <c r="A15" s="154"/>
      <c r="B15" s="196" t="s">
        <v>12</v>
      </c>
      <c r="C15" s="273" t="s">
        <v>13</v>
      </c>
      <c r="D15" s="273"/>
      <c r="E15" s="122"/>
      <c r="F15" s="154"/>
    </row>
    <row r="16" spans="1:7">
      <c r="A16" s="154"/>
      <c r="B16" s="196"/>
      <c r="F16" s="154"/>
    </row>
    <row r="17" spans="1:6" ht="37" customHeight="1">
      <c r="A17" s="154"/>
      <c r="B17" s="196" t="s">
        <v>14</v>
      </c>
      <c r="C17" s="273" t="s">
        <v>15</v>
      </c>
      <c r="D17" s="273"/>
      <c r="E17" s="122"/>
      <c r="F17" s="154"/>
    </row>
    <row r="18" spans="1:6" ht="16.3" thickBot="1">
      <c r="B18" s="155"/>
      <c r="C18" s="156"/>
      <c r="D18" s="156"/>
      <c r="E18" s="156"/>
      <c r="F18" s="157"/>
    </row>
    <row r="19" spans="1:6" ht="16.3" thickBot="1"/>
    <row r="20" spans="1:6" ht="16.3" thickBot="1">
      <c r="B20" s="146" t="s">
        <v>16</v>
      </c>
      <c r="C20" s="147"/>
      <c r="D20" s="148"/>
      <c r="E20" s="148" t="s">
        <v>8</v>
      </c>
      <c r="F20" s="149">
        <f>IFERROR(VLOOKUP(F23,Scoring!J94:K103,2,FALSE),0)</f>
        <v>0</v>
      </c>
    </row>
    <row r="21" spans="1:6" ht="16.3" thickTop="1">
      <c r="B21" s="128"/>
      <c r="C21" s="129"/>
      <c r="D21" s="150"/>
      <c r="E21" s="150"/>
      <c r="F21" s="151"/>
    </row>
    <row r="22" spans="1:6">
      <c r="A22" s="154"/>
      <c r="B22" s="121" t="s">
        <v>17</v>
      </c>
      <c r="C22" s="129"/>
      <c r="D22" s="150"/>
      <c r="E22" s="150"/>
      <c r="F22" s="151"/>
    </row>
    <row r="23" spans="1:6">
      <c r="B23" s="152"/>
      <c r="E23" s="121"/>
      <c r="F23" s="153"/>
    </row>
    <row r="24" spans="1:6">
      <c r="B24" s="158" t="s">
        <v>18</v>
      </c>
      <c r="C24" s="136"/>
      <c r="D24" s="159"/>
      <c r="E24" s="160"/>
      <c r="F24" s="161"/>
    </row>
    <row r="25" spans="1:6">
      <c r="B25" s="152"/>
      <c r="F25" s="154"/>
    </row>
    <row r="26" spans="1:6">
      <c r="B26" s="195" t="s">
        <v>10</v>
      </c>
      <c r="C26" s="129" t="s">
        <v>19</v>
      </c>
      <c r="D26" s="122"/>
      <c r="E26" s="122"/>
      <c r="F26" s="154"/>
    </row>
    <row r="27" spans="1:6" s="122" customFormat="1" ht="70" customHeight="1">
      <c r="B27" s="197"/>
      <c r="C27" s="273" t="s">
        <v>20</v>
      </c>
      <c r="D27" s="273"/>
      <c r="F27" s="162"/>
    </row>
    <row r="28" spans="1:6">
      <c r="B28" s="128"/>
      <c r="D28" s="122"/>
      <c r="E28" s="122"/>
      <c r="F28" s="154"/>
    </row>
    <row r="29" spans="1:6">
      <c r="A29" s="154"/>
      <c r="B29" s="196" t="s">
        <v>12</v>
      </c>
      <c r="C29" s="129" t="s">
        <v>21</v>
      </c>
      <c r="F29" s="154"/>
    </row>
    <row r="30" spans="1:6" ht="112" customHeight="1">
      <c r="B30" s="128"/>
      <c r="C30" s="273" t="s">
        <v>22</v>
      </c>
      <c r="D30" s="273"/>
      <c r="E30" s="122"/>
      <c r="F30" s="154"/>
    </row>
    <row r="31" spans="1:6">
      <c r="B31" s="128"/>
      <c r="F31" s="154"/>
    </row>
    <row r="32" spans="1:6">
      <c r="B32" s="195" t="s">
        <v>14</v>
      </c>
      <c r="C32" s="129" t="s">
        <v>23</v>
      </c>
      <c r="F32" s="154"/>
    </row>
    <row r="33" spans="2:6" ht="20.149999999999999" customHeight="1">
      <c r="B33" s="128"/>
      <c r="C33" s="123" t="s">
        <v>24</v>
      </c>
      <c r="F33" s="154"/>
    </row>
    <row r="34" spans="2:6" ht="21" customHeight="1">
      <c r="B34" s="152"/>
      <c r="C34" s="277" t="s">
        <v>25</v>
      </c>
      <c r="D34" s="277"/>
      <c r="E34" s="122"/>
      <c r="F34" s="154"/>
    </row>
    <row r="35" spans="2:6" ht="38.15" customHeight="1">
      <c r="B35" s="152"/>
      <c r="C35" s="277" t="s">
        <v>26</v>
      </c>
      <c r="D35" s="277"/>
      <c r="E35" s="122"/>
      <c r="F35" s="154"/>
    </row>
    <row r="36" spans="2:6" ht="51" customHeight="1">
      <c r="B36" s="152"/>
      <c r="C36" s="277" t="s">
        <v>27</v>
      </c>
      <c r="D36" s="277"/>
      <c r="E36" s="122"/>
      <c r="F36" s="154"/>
    </row>
    <row r="37" spans="2:6">
      <c r="B37" s="152"/>
      <c r="F37" s="154"/>
    </row>
    <row r="38" spans="2:6">
      <c r="B38" s="195" t="s">
        <v>28</v>
      </c>
      <c r="C38" s="129" t="s">
        <v>29</v>
      </c>
      <c r="F38" s="154"/>
    </row>
    <row r="39" spans="2:6" ht="97" customHeight="1">
      <c r="B39" s="194"/>
      <c r="C39" s="273" t="s">
        <v>30</v>
      </c>
      <c r="D39" s="273"/>
      <c r="E39" s="122"/>
      <c r="F39" s="154"/>
    </row>
    <row r="40" spans="2:6" ht="36" customHeight="1">
      <c r="B40" s="194"/>
      <c r="C40" s="277" t="s">
        <v>31</v>
      </c>
      <c r="D40" s="277"/>
      <c r="E40" s="122"/>
      <c r="F40" s="154"/>
    </row>
    <row r="41" spans="2:6" ht="55" customHeight="1">
      <c r="B41" s="194"/>
      <c r="C41" s="277" t="s">
        <v>32</v>
      </c>
      <c r="D41" s="277"/>
      <c r="E41" s="122"/>
      <c r="F41" s="154"/>
    </row>
    <row r="42" spans="2:6">
      <c r="B42" s="194"/>
      <c r="F42" s="154"/>
    </row>
    <row r="43" spans="2:6">
      <c r="B43" s="195" t="s">
        <v>33</v>
      </c>
      <c r="C43" s="129" t="s">
        <v>34</v>
      </c>
      <c r="F43" s="154"/>
    </row>
    <row r="44" spans="2:6" ht="20.149999999999999" customHeight="1">
      <c r="B44" s="195"/>
      <c r="C44" s="273" t="s">
        <v>35</v>
      </c>
      <c r="D44" s="273"/>
      <c r="E44" s="122"/>
      <c r="F44" s="154"/>
    </row>
    <row r="45" spans="2:6" ht="34" customHeight="1">
      <c r="B45" s="195"/>
      <c r="C45" s="277" t="s">
        <v>36</v>
      </c>
      <c r="D45" s="277"/>
      <c r="E45" s="122"/>
      <c r="F45" s="154"/>
    </row>
    <row r="46" spans="2:6" ht="37" customHeight="1">
      <c r="B46" s="195"/>
      <c r="C46" s="277" t="s">
        <v>37</v>
      </c>
      <c r="D46" s="277"/>
      <c r="E46" s="122"/>
      <c r="F46" s="154"/>
    </row>
    <row r="47" spans="2:6">
      <c r="B47" s="195"/>
      <c r="F47" s="154"/>
    </row>
    <row r="48" spans="2:6">
      <c r="B48" s="195" t="s">
        <v>38</v>
      </c>
      <c r="C48" s="129" t="s">
        <v>39</v>
      </c>
      <c r="F48" s="154"/>
    </row>
    <row r="49" spans="2:6" ht="15.65" customHeight="1">
      <c r="B49" s="195"/>
      <c r="C49" s="273" t="s">
        <v>40</v>
      </c>
      <c r="D49" s="273"/>
      <c r="E49" s="122"/>
      <c r="F49" s="154"/>
    </row>
    <row r="50" spans="2:6">
      <c r="B50" s="195"/>
      <c r="F50" s="154"/>
    </row>
    <row r="51" spans="2:6">
      <c r="B51" s="195" t="s">
        <v>41</v>
      </c>
      <c r="C51" s="129" t="s">
        <v>42</v>
      </c>
      <c r="F51" s="154"/>
    </row>
    <row r="52" spans="2:6" ht="57" customHeight="1" thickBot="1">
      <c r="B52" s="194"/>
      <c r="C52" s="273" t="s">
        <v>43</v>
      </c>
      <c r="D52" s="273"/>
      <c r="E52" s="122"/>
      <c r="F52" s="154"/>
    </row>
    <row r="53" spans="2:6" ht="16.3" thickBot="1">
      <c r="B53" s="152"/>
      <c r="C53" s="163" t="s">
        <v>44</v>
      </c>
      <c r="D53" s="164" t="s">
        <v>45</v>
      </c>
      <c r="E53" s="122"/>
      <c r="F53" s="154"/>
    </row>
    <row r="54" spans="2:6" ht="16.3" thickTop="1">
      <c r="B54" s="152"/>
      <c r="C54" s="165" t="s">
        <v>46</v>
      </c>
      <c r="D54" s="166" t="s">
        <v>47</v>
      </c>
      <c r="E54" s="122"/>
      <c r="F54" s="154"/>
    </row>
    <row r="55" spans="2:6">
      <c r="B55" s="152"/>
      <c r="C55" s="167" t="s">
        <v>48</v>
      </c>
      <c r="D55" s="168" t="s">
        <v>49</v>
      </c>
      <c r="E55" s="122"/>
      <c r="F55" s="154"/>
    </row>
    <row r="56" spans="2:6">
      <c r="B56" s="152"/>
      <c r="C56" s="167" t="s">
        <v>50</v>
      </c>
      <c r="D56" s="168" t="s">
        <v>51</v>
      </c>
      <c r="E56" s="122"/>
      <c r="F56" s="154"/>
    </row>
    <row r="57" spans="2:6" ht="16.3" thickBot="1">
      <c r="B57" s="152"/>
      <c r="C57" s="198" t="s">
        <v>52</v>
      </c>
      <c r="D57" s="199" t="s">
        <v>53</v>
      </c>
      <c r="E57" s="122"/>
      <c r="F57" s="154"/>
    </row>
    <row r="58" spans="2:6">
      <c r="B58" s="152"/>
      <c r="F58" s="154"/>
    </row>
    <row r="59" spans="2:6">
      <c r="B59" s="158" t="s">
        <v>54</v>
      </c>
      <c r="C59" s="169"/>
      <c r="D59" s="170"/>
      <c r="F59" s="154"/>
    </row>
    <row r="60" spans="2:6">
      <c r="B60" s="152"/>
      <c r="F60" s="154"/>
    </row>
    <row r="61" spans="2:6">
      <c r="B61" s="195" t="s">
        <v>10</v>
      </c>
      <c r="C61" s="129" t="s">
        <v>55</v>
      </c>
      <c r="F61" s="154"/>
    </row>
    <row r="62" spans="2:6">
      <c r="B62" s="195"/>
      <c r="C62" s="123" t="s">
        <v>56</v>
      </c>
      <c r="E62" s="122"/>
      <c r="F62" s="154"/>
    </row>
    <row r="63" spans="2:6">
      <c r="B63" s="195"/>
      <c r="C63" s="193" t="s">
        <v>57</v>
      </c>
      <c r="F63" s="154"/>
    </row>
    <row r="64" spans="2:6" ht="33" customHeight="1">
      <c r="B64" s="195"/>
      <c r="C64" s="277" t="s">
        <v>58</v>
      </c>
      <c r="D64" s="277"/>
      <c r="E64" s="122"/>
      <c r="F64" s="154"/>
    </row>
    <row r="65" spans="2:6" ht="33" customHeight="1">
      <c r="B65" s="195"/>
      <c r="C65" s="277" t="s">
        <v>59</v>
      </c>
      <c r="D65" s="277"/>
      <c r="E65" s="122"/>
      <c r="F65" s="154"/>
    </row>
    <row r="66" spans="2:6" ht="21" customHeight="1">
      <c r="B66" s="195"/>
      <c r="C66" s="193" t="s">
        <v>60</v>
      </c>
      <c r="E66" s="122"/>
      <c r="F66" s="154"/>
    </row>
    <row r="67" spans="2:6">
      <c r="B67" s="195"/>
      <c r="C67" s="193" t="s">
        <v>61</v>
      </c>
      <c r="E67" s="122"/>
      <c r="F67" s="154"/>
    </row>
    <row r="68" spans="2:6">
      <c r="B68" s="195"/>
      <c r="C68" s="171"/>
      <c r="D68" s="122"/>
      <c r="E68" s="122"/>
      <c r="F68" s="154"/>
    </row>
    <row r="69" spans="2:6">
      <c r="B69" s="195" t="s">
        <v>12</v>
      </c>
      <c r="C69" s="192" t="s">
        <v>62</v>
      </c>
      <c r="D69" s="122"/>
      <c r="E69" s="122"/>
      <c r="F69" s="154"/>
    </row>
    <row r="70" spans="2:6" ht="32.15" customHeight="1">
      <c r="B70" s="195"/>
      <c r="C70" s="273" t="s">
        <v>63</v>
      </c>
      <c r="D70" s="273"/>
      <c r="E70" s="122"/>
      <c r="F70" s="154"/>
    </row>
    <row r="71" spans="2:6" ht="35.15" customHeight="1">
      <c r="B71" s="195"/>
      <c r="C71" s="277" t="s">
        <v>64</v>
      </c>
      <c r="D71" s="277"/>
      <c r="E71" s="122"/>
      <c r="F71" s="154"/>
    </row>
    <row r="72" spans="2:6" ht="34" customHeight="1">
      <c r="B72" s="195"/>
      <c r="C72" s="277" t="s">
        <v>65</v>
      </c>
      <c r="D72" s="277"/>
      <c r="E72" s="122"/>
      <c r="F72" s="154"/>
    </row>
    <row r="73" spans="2:6">
      <c r="B73" s="195"/>
      <c r="C73" s="171"/>
      <c r="D73" s="122"/>
      <c r="E73" s="122"/>
      <c r="F73" s="154"/>
    </row>
    <row r="74" spans="2:6">
      <c r="B74" s="195" t="s">
        <v>14</v>
      </c>
      <c r="C74" s="192" t="s">
        <v>66</v>
      </c>
      <c r="D74" s="122"/>
      <c r="E74" s="122"/>
      <c r="F74" s="154"/>
    </row>
    <row r="75" spans="2:6">
      <c r="B75" s="194"/>
      <c r="C75" s="123" t="s">
        <v>67</v>
      </c>
      <c r="E75" s="122"/>
      <c r="F75" s="154"/>
    </row>
    <row r="76" spans="2:6" ht="53.15" customHeight="1">
      <c r="B76" s="194"/>
      <c r="C76" s="277" t="s">
        <v>68</v>
      </c>
      <c r="D76" s="277"/>
      <c r="E76" s="122"/>
      <c r="F76" s="154"/>
    </row>
    <row r="77" spans="2:6" ht="53.15" customHeight="1">
      <c r="B77" s="152"/>
      <c r="C77" s="277" t="s">
        <v>69</v>
      </c>
      <c r="D77" s="277"/>
      <c r="E77" s="122"/>
      <c r="F77" s="154"/>
    </row>
    <row r="78" spans="2:6" ht="36" customHeight="1">
      <c r="B78" s="152"/>
      <c r="C78" s="277" t="s">
        <v>70</v>
      </c>
      <c r="D78" s="277"/>
      <c r="E78" s="122"/>
      <c r="F78" s="154"/>
    </row>
    <row r="79" spans="2:6" ht="16.3" thickBot="1">
      <c r="B79" s="155"/>
      <c r="C79" s="156"/>
      <c r="D79" s="156"/>
      <c r="E79" s="156"/>
      <c r="F79" s="157"/>
    </row>
    <row r="80" spans="2:6" ht="16.3" thickBot="1">
      <c r="B80" s="172"/>
      <c r="C80" s="172"/>
      <c r="D80" s="172"/>
      <c r="E80" s="172"/>
      <c r="F80" s="172"/>
    </row>
    <row r="81" spans="2:11" ht="16.3" thickBot="1">
      <c r="B81" s="146" t="s">
        <v>71</v>
      </c>
      <c r="C81" s="147"/>
      <c r="D81" s="148"/>
      <c r="E81" s="148" t="s">
        <v>8</v>
      </c>
      <c r="F81" s="173">
        <f>MIN(20,MAX(E86,_xlfn.MAXIFS(E84:E85,F84:F85,TRUE))+F91+F99)</f>
        <v>0</v>
      </c>
    </row>
    <row r="82" spans="2:11" ht="16.3" thickTop="1">
      <c r="B82" s="128"/>
      <c r="C82" s="129"/>
      <c r="D82" s="150"/>
      <c r="E82" s="150"/>
      <c r="F82" s="151"/>
    </row>
    <row r="83" spans="2:11">
      <c r="B83" s="195" t="s">
        <v>10</v>
      </c>
      <c r="C83" s="123" t="s">
        <v>72</v>
      </c>
      <c r="E83" s="174"/>
      <c r="F83" s="153"/>
    </row>
    <row r="84" spans="2:11">
      <c r="B84" s="195" t="s">
        <v>12</v>
      </c>
      <c r="C84" s="123" t="s">
        <v>73</v>
      </c>
      <c r="D84" s="122"/>
      <c r="E84" s="175">
        <v>20</v>
      </c>
      <c r="F84" s="153"/>
    </row>
    <row r="85" spans="2:11">
      <c r="B85" s="195" t="s">
        <v>14</v>
      </c>
      <c r="C85" s="123" t="s">
        <v>74</v>
      </c>
      <c r="E85" s="175">
        <f>IF(F83,15,20)</f>
        <v>20</v>
      </c>
      <c r="F85" s="153"/>
    </row>
    <row r="86" spans="2:11">
      <c r="B86" s="195" t="s">
        <v>28</v>
      </c>
      <c r="C86" s="123" t="s">
        <v>75</v>
      </c>
      <c r="D86" s="122"/>
      <c r="E86" s="175">
        <f>IF(F86&gt;0,MIN(15,F86),0)</f>
        <v>0</v>
      </c>
      <c r="F86" s="153">
        <v>0</v>
      </c>
      <c r="G86" s="140"/>
    </row>
    <row r="87" spans="2:11" ht="32.15" customHeight="1">
      <c r="B87" s="152"/>
      <c r="C87" s="281" t="s">
        <v>76</v>
      </c>
      <c r="D87" s="281"/>
      <c r="E87" s="176"/>
      <c r="F87" s="201" t="s">
        <v>77</v>
      </c>
      <c r="G87" s="140"/>
    </row>
    <row r="88" spans="2:11" ht="48" customHeight="1">
      <c r="B88" s="152"/>
      <c r="C88" s="281" t="s">
        <v>78</v>
      </c>
      <c r="D88" s="281"/>
      <c r="E88" s="176"/>
      <c r="F88" s="151"/>
      <c r="G88" s="140"/>
    </row>
    <row r="89" spans="2:11">
      <c r="B89" s="152"/>
      <c r="D89" s="122"/>
      <c r="E89" s="177"/>
      <c r="F89" s="154"/>
    </row>
    <row r="90" spans="2:11" ht="16.3" thickBot="1">
      <c r="B90" s="200" t="s">
        <v>33</v>
      </c>
      <c r="C90" s="178" t="s">
        <v>79</v>
      </c>
      <c r="E90" s="178"/>
      <c r="F90" s="151"/>
    </row>
    <row r="91" spans="2:11">
      <c r="B91" s="152"/>
      <c r="C91" s="191" t="s">
        <v>80</v>
      </c>
      <c r="D91" s="112"/>
      <c r="E91" s="113"/>
      <c r="F91" s="114">
        <f>IFERROR(IF(F83,0,IF(OR(F92:F96),5,0)),0)</f>
        <v>0</v>
      </c>
      <c r="H91" s="278" t="s">
        <v>81</v>
      </c>
      <c r="I91" s="279"/>
      <c r="J91" s="279"/>
      <c r="K91" s="280"/>
    </row>
    <row r="92" spans="2:11">
      <c r="B92" s="152"/>
      <c r="C92" s="193" t="s">
        <v>82</v>
      </c>
      <c r="E92" s="175">
        <v>5</v>
      </c>
      <c r="F92" s="179"/>
      <c r="H92" s="180"/>
      <c r="I92" s="181"/>
      <c r="J92" s="181"/>
      <c r="K92" s="182"/>
    </row>
    <row r="93" spans="2:11">
      <c r="B93" s="152"/>
      <c r="C93" s="193" t="s">
        <v>83</v>
      </c>
      <c r="D93" s="122"/>
      <c r="E93" s="175">
        <v>5</v>
      </c>
      <c r="F93" s="153"/>
      <c r="H93" s="180"/>
      <c r="I93" s="181"/>
      <c r="J93" s="183" t="s">
        <v>84</v>
      </c>
      <c r="K93" s="184" t="s">
        <v>85</v>
      </c>
    </row>
    <row r="94" spans="2:11">
      <c r="B94" s="152"/>
      <c r="C94" s="193" t="s">
        <v>86</v>
      </c>
      <c r="D94" s="122"/>
      <c r="E94" s="175">
        <v>5</v>
      </c>
      <c r="F94" s="153"/>
      <c r="H94" s="180" t="b">
        <v>1</v>
      </c>
      <c r="I94" s="185" t="s">
        <v>10</v>
      </c>
      <c r="J94" s="181" t="s">
        <v>19</v>
      </c>
      <c r="K94" s="182">
        <v>35</v>
      </c>
    </row>
    <row r="95" spans="2:11">
      <c r="B95" s="152"/>
      <c r="C95" s="193" t="s">
        <v>87</v>
      </c>
      <c r="D95" s="122"/>
      <c r="E95" s="175">
        <v>5</v>
      </c>
      <c r="F95" s="153"/>
      <c r="H95" s="180" t="b">
        <v>0</v>
      </c>
      <c r="I95" s="185" t="s">
        <v>12</v>
      </c>
      <c r="J95" s="181" t="s">
        <v>21</v>
      </c>
      <c r="K95" s="182">
        <v>35</v>
      </c>
    </row>
    <row r="96" spans="2:11">
      <c r="B96" s="152"/>
      <c r="C96" s="193" t="s">
        <v>88</v>
      </c>
      <c r="D96" s="122"/>
      <c r="E96" s="175">
        <v>5</v>
      </c>
      <c r="F96" s="153"/>
      <c r="H96" s="180"/>
      <c r="I96" s="185" t="s">
        <v>14</v>
      </c>
      <c r="J96" s="181" t="s">
        <v>23</v>
      </c>
      <c r="K96" s="182">
        <v>35</v>
      </c>
    </row>
    <row r="97" spans="2:11">
      <c r="B97" s="152"/>
      <c r="D97" s="122"/>
      <c r="E97" s="176"/>
      <c r="F97" s="151"/>
      <c r="H97" s="180"/>
      <c r="I97" s="185" t="s">
        <v>28</v>
      </c>
      <c r="J97" s="181" t="s">
        <v>29</v>
      </c>
      <c r="K97" s="182">
        <v>35</v>
      </c>
    </row>
    <row r="98" spans="2:11">
      <c r="B98" s="152"/>
      <c r="C98" s="129"/>
      <c r="D98" s="122"/>
      <c r="E98" s="177"/>
      <c r="F98" s="154"/>
      <c r="H98" s="180"/>
      <c r="I98" s="185" t="s">
        <v>33</v>
      </c>
      <c r="J98" s="181" t="s">
        <v>34</v>
      </c>
      <c r="K98" s="182">
        <v>35</v>
      </c>
    </row>
    <row r="99" spans="2:11">
      <c r="B99" s="152"/>
      <c r="C99" s="191" t="s">
        <v>89</v>
      </c>
      <c r="D99" s="122"/>
      <c r="E99" s="186"/>
      <c r="F99" s="114">
        <f>IF(F83,MIN(5,SUMIF(F100:F108,TRUE,E100:E108)),0)</f>
        <v>0</v>
      </c>
      <c r="H99" s="180"/>
      <c r="I99" s="185" t="s">
        <v>38</v>
      </c>
      <c r="J99" s="181" t="s">
        <v>39</v>
      </c>
      <c r="K99" s="182">
        <v>35</v>
      </c>
    </row>
    <row r="100" spans="2:11">
      <c r="B100" s="152"/>
      <c r="C100" s="193" t="s">
        <v>82</v>
      </c>
      <c r="E100" s="175">
        <v>1</v>
      </c>
      <c r="F100" s="179"/>
      <c r="H100" s="180"/>
      <c r="I100" s="181"/>
      <c r="J100" s="181" t="s">
        <v>42</v>
      </c>
      <c r="K100" s="182">
        <v>35</v>
      </c>
    </row>
    <row r="101" spans="2:11">
      <c r="B101" s="152"/>
      <c r="C101" s="193" t="s">
        <v>90</v>
      </c>
      <c r="D101" s="122"/>
      <c r="E101" s="175">
        <v>1</v>
      </c>
      <c r="F101" s="153"/>
      <c r="H101" s="180"/>
      <c r="I101" s="181"/>
      <c r="J101" s="181" t="s">
        <v>91</v>
      </c>
      <c r="K101" s="182">
        <v>25</v>
      </c>
    </row>
    <row r="102" spans="2:11">
      <c r="B102" s="152"/>
      <c r="C102" s="193" t="s">
        <v>92</v>
      </c>
      <c r="D102" s="122"/>
      <c r="E102" s="175">
        <v>1</v>
      </c>
      <c r="F102" s="153"/>
      <c r="H102" s="180"/>
      <c r="I102" s="181"/>
      <c r="J102" s="181" t="s">
        <v>93</v>
      </c>
      <c r="K102" s="182">
        <v>20</v>
      </c>
    </row>
    <row r="103" spans="2:11">
      <c r="B103" s="152"/>
      <c r="C103" s="193" t="s">
        <v>94</v>
      </c>
      <c r="D103" s="122"/>
      <c r="E103" s="175">
        <v>1</v>
      </c>
      <c r="F103" s="153"/>
      <c r="H103" s="180"/>
      <c r="I103" s="181"/>
      <c r="J103" s="181" t="s">
        <v>95</v>
      </c>
      <c r="K103" s="182">
        <v>10</v>
      </c>
    </row>
    <row r="104" spans="2:11" ht="16.3" thickBot="1">
      <c r="B104" s="152"/>
      <c r="C104" s="193" t="s">
        <v>96</v>
      </c>
      <c r="D104" s="122"/>
      <c r="E104" s="176"/>
      <c r="F104" s="154"/>
      <c r="H104" s="187"/>
      <c r="I104" s="188"/>
      <c r="J104" s="188"/>
      <c r="K104" s="189"/>
    </row>
    <row r="105" spans="2:11">
      <c r="B105" s="152"/>
      <c r="C105" s="190"/>
      <c r="D105" s="190" t="s">
        <v>97</v>
      </c>
      <c r="E105" s="175">
        <v>2</v>
      </c>
      <c r="F105" s="153"/>
    </row>
    <row r="106" spans="2:11">
      <c r="B106" s="152"/>
      <c r="C106" s="190"/>
      <c r="D106" s="190" t="s">
        <v>98</v>
      </c>
      <c r="E106" s="175">
        <v>1</v>
      </c>
      <c r="F106" s="153"/>
    </row>
    <row r="107" spans="2:11">
      <c r="B107" s="152"/>
      <c r="C107" s="193" t="s">
        <v>99</v>
      </c>
      <c r="D107" s="272"/>
      <c r="E107" s="175">
        <v>1</v>
      </c>
      <c r="F107" s="153"/>
    </row>
    <row r="108" spans="2:11">
      <c r="B108" s="152"/>
      <c r="C108" s="193" t="s">
        <v>100</v>
      </c>
      <c r="D108" s="272"/>
      <c r="E108" s="175">
        <v>1</v>
      </c>
      <c r="F108" s="153"/>
    </row>
    <row r="109" spans="2:11" ht="16.3" thickBot="1">
      <c r="B109" s="155"/>
      <c r="C109" s="156"/>
      <c r="D109" s="156"/>
      <c r="E109" s="156"/>
      <c r="F109" s="157"/>
    </row>
    <row r="111" spans="2:11">
      <c r="B111" s="238" t="s">
        <v>101</v>
      </c>
    </row>
  </sheetData>
  <mergeCells count="29">
    <mergeCell ref="H91:K91"/>
    <mergeCell ref="C72:D72"/>
    <mergeCell ref="C76:D76"/>
    <mergeCell ref="C77:D77"/>
    <mergeCell ref="C78:D78"/>
    <mergeCell ref="C87:D87"/>
    <mergeCell ref="C88:D88"/>
    <mergeCell ref="C71:D71"/>
    <mergeCell ref="C40:D40"/>
    <mergeCell ref="C41:D41"/>
    <mergeCell ref="C44:D44"/>
    <mergeCell ref="C45:D45"/>
    <mergeCell ref="C46:D46"/>
    <mergeCell ref="C49:D49"/>
    <mergeCell ref="C52:D52"/>
    <mergeCell ref="C64:D64"/>
    <mergeCell ref="C65:D65"/>
    <mergeCell ref="C70:D70"/>
    <mergeCell ref="C39:D39"/>
    <mergeCell ref="B1:F1"/>
    <mergeCell ref="C3:D3"/>
    <mergeCell ref="C13:D13"/>
    <mergeCell ref="C15:D15"/>
    <mergeCell ref="C17:D17"/>
    <mergeCell ref="C27:D27"/>
    <mergeCell ref="C30:D30"/>
    <mergeCell ref="C34:D34"/>
    <mergeCell ref="C35:D35"/>
    <mergeCell ref="C36:D36"/>
  </mergeCells>
  <dataValidations count="4">
    <dataValidation type="whole" operator="greaterThanOrEqual" allowBlank="1" showInputMessage="1" showErrorMessage="1" sqref="F86" xr:uid="{ACBC6B96-7F1E-5B40-995E-68BA0104DE08}">
      <formula1>0</formula1>
    </dataValidation>
    <dataValidation type="list" allowBlank="1" showInputMessage="1" showErrorMessage="1" sqref="F12" xr:uid="{66D72AFB-E7A1-764A-85DD-3499525EFA7D}">
      <formula1>$I$93:$I$96</formula1>
    </dataValidation>
    <dataValidation type="list" allowBlank="1" showInputMessage="1" showErrorMessage="1" sqref="F23" xr:uid="{1C891656-F1D4-3540-A78F-FC39A2034175}">
      <formula1>$J$94:$J$103</formula1>
    </dataValidation>
    <dataValidation type="list" allowBlank="1" showInputMessage="1" showErrorMessage="1" sqref="F100:F103 F83:F85 F105:F108 F92:F97" xr:uid="{D547D79E-9B12-6345-8F28-82BA667B2E6A}">
      <formula1>$H$94:$H$95</formula1>
    </dataValidation>
  </dataValidations>
  <pageMargins left="0.7" right="0.7" top="0.75" bottom="0.75" header="0.3" footer="0.3"/>
  <pageSetup scale="42" fitToHeight="2" orientation="portrait" horizontalDpi="0" verticalDpi="0"/>
  <rowBreaks count="1" manualBreakCount="1">
    <brk id="46" max="7" man="1"/>
  </rowBreaks>
  <ignoredErrors>
    <ignoredError sqref="B13 B15 B17 B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EEEE7-6F82-C746-BBF2-05CE2291522C}">
  <sheetPr>
    <pageSetUpPr fitToPage="1"/>
  </sheetPr>
  <dimension ref="A1:W256"/>
  <sheetViews>
    <sheetView showGridLines="0" zoomScale="70" zoomScaleNormal="70" workbookViewId="0">
      <selection activeCell="B17" sqref="B17"/>
    </sheetView>
  </sheetViews>
  <sheetFormatPr defaultColWidth="11" defaultRowHeight="15.9"/>
  <cols>
    <col min="1" max="1" width="3.140625" customWidth="1"/>
    <col min="2" max="2" width="44.640625" customWidth="1"/>
    <col min="3" max="3" width="23.5" customWidth="1"/>
    <col min="4" max="4" width="24" customWidth="1"/>
    <col min="5" max="5" width="24.5" customWidth="1"/>
    <col min="6" max="7" width="24.35546875" customWidth="1"/>
    <col min="8" max="8" width="23.85546875" customWidth="1"/>
    <col min="9" max="9" width="15" bestFit="1" customWidth="1"/>
    <col min="10" max="10" width="4.85546875" customWidth="1"/>
    <col min="11" max="11" width="10.140625" bestFit="1" customWidth="1"/>
    <col min="12" max="12" width="11.5" bestFit="1" customWidth="1"/>
    <col min="13" max="16" width="10.5" bestFit="1" customWidth="1"/>
    <col min="17" max="17" width="10.5" customWidth="1"/>
  </cols>
  <sheetData>
    <row r="1" spans="2:9" ht="45" customHeight="1">
      <c r="B1" s="282" t="s">
        <v>102</v>
      </c>
      <c r="C1" s="282"/>
      <c r="D1" s="282"/>
      <c r="E1" s="282"/>
      <c r="F1" s="282"/>
      <c r="G1" s="282"/>
      <c r="H1" s="282"/>
      <c r="I1" s="282"/>
    </row>
    <row r="2" spans="2:9" ht="16.3" thickBot="1"/>
    <row r="3" spans="2:9">
      <c r="C3" s="203"/>
      <c r="D3" s="211" t="s">
        <v>103</v>
      </c>
      <c r="E3" s="210">
        <f>C70</f>
        <v>0</v>
      </c>
      <c r="F3" s="204"/>
    </row>
    <row r="4" spans="2:9">
      <c r="C4" s="205"/>
      <c r="D4" s="34"/>
      <c r="E4" s="35" t="s">
        <v>104</v>
      </c>
      <c r="F4" s="206"/>
    </row>
    <row r="5" spans="2:9" ht="16.3" thickBot="1">
      <c r="C5" s="205"/>
      <c r="D5" s="34" t="s">
        <v>105</v>
      </c>
      <c r="E5" s="212" t="e">
        <f>H70</f>
        <v>#N/A</v>
      </c>
      <c r="F5" s="206"/>
    </row>
    <row r="6" spans="2:9" ht="5.15" customHeight="1">
      <c r="C6" s="205"/>
      <c r="F6" s="206"/>
    </row>
    <row r="7" spans="2:9" ht="16.3" thickBot="1">
      <c r="C7" s="207"/>
      <c r="D7" s="115" t="s">
        <v>106</v>
      </c>
      <c r="E7" s="209" t="e">
        <f>IF(E5&gt;0,E3/E5,0)</f>
        <v>#N/A</v>
      </c>
      <c r="F7" s="208"/>
    </row>
    <row r="9" spans="2:9" ht="16.3" thickBot="1">
      <c r="C9" s="256" t="s">
        <v>107</v>
      </c>
    </row>
    <row r="10" spans="2:9" ht="16.3" thickBot="1">
      <c r="B10" s="84" t="s">
        <v>108</v>
      </c>
      <c r="C10" s="97" t="s">
        <v>109</v>
      </c>
      <c r="D10" s="86"/>
      <c r="E10" s="86"/>
      <c r="F10" s="86"/>
      <c r="G10" s="86"/>
      <c r="H10" s="86"/>
      <c r="I10" s="87"/>
    </row>
    <row r="11" spans="2:9" ht="16.3" thickTop="1">
      <c r="B11" s="75" t="s">
        <v>110</v>
      </c>
      <c r="C11" s="258" t="str">
        <f>Scoring!C3</f>
        <v xml:space="preserve"> </v>
      </c>
      <c r="D11" s="219"/>
      <c r="E11" s="78"/>
      <c r="F11" s="78"/>
      <c r="G11" s="78"/>
      <c r="H11" s="78"/>
      <c r="I11" s="79"/>
    </row>
    <row r="12" spans="2:9">
      <c r="B12" s="36" t="s">
        <v>111</v>
      </c>
      <c r="C12" s="259"/>
      <c r="D12" s="219"/>
      <c r="E12" s="78"/>
      <c r="F12" s="78"/>
      <c r="G12" s="78"/>
      <c r="H12" s="78"/>
      <c r="I12" s="79"/>
    </row>
    <row r="13" spans="2:9">
      <c r="B13" s="36" t="s">
        <v>112</v>
      </c>
      <c r="C13" s="259"/>
      <c r="D13" s="219" t="s">
        <v>113</v>
      </c>
      <c r="E13" s="78"/>
      <c r="F13" s="78"/>
      <c r="G13" s="78"/>
      <c r="H13" s="78"/>
      <c r="I13" s="79"/>
    </row>
    <row r="14" spans="2:9">
      <c r="B14" s="36"/>
      <c r="C14" s="266"/>
      <c r="D14" s="219"/>
      <c r="E14" s="78"/>
      <c r="F14" s="78"/>
      <c r="G14" s="78"/>
      <c r="H14" s="78"/>
      <c r="I14" s="79"/>
    </row>
    <row r="15" spans="2:9">
      <c r="B15" s="36" t="s">
        <v>114</v>
      </c>
      <c r="C15" s="259"/>
      <c r="D15" s="219" t="s">
        <v>115</v>
      </c>
      <c r="E15" s="78"/>
      <c r="F15" s="78"/>
      <c r="G15" s="78"/>
      <c r="H15" s="78"/>
      <c r="I15" s="79"/>
    </row>
    <row r="16" spans="2:9">
      <c r="B16" s="36" t="s">
        <v>116</v>
      </c>
      <c r="C16" s="259"/>
      <c r="D16" s="219" t="s">
        <v>117</v>
      </c>
      <c r="E16" s="78"/>
      <c r="F16" s="78"/>
      <c r="G16" s="78"/>
      <c r="H16" s="78"/>
      <c r="I16" s="79"/>
    </row>
    <row r="17" spans="2:9" ht="17.149999999999999" customHeight="1">
      <c r="B17" s="37" t="s">
        <v>118</v>
      </c>
      <c r="C17" s="259"/>
      <c r="D17" s="219" t="s">
        <v>113</v>
      </c>
      <c r="E17" s="78"/>
      <c r="F17" s="78"/>
      <c r="G17" s="78"/>
      <c r="H17" s="78"/>
      <c r="I17" s="79"/>
    </row>
    <row r="18" spans="2:9" ht="17.149999999999999" customHeight="1">
      <c r="B18" s="37"/>
      <c r="C18" s="266"/>
      <c r="D18" s="219"/>
      <c r="E18" s="78"/>
      <c r="F18" s="78"/>
      <c r="G18" s="78"/>
      <c r="H18" s="78"/>
      <c r="I18" s="79"/>
    </row>
    <row r="19" spans="2:9">
      <c r="B19" s="111" t="s">
        <v>119</v>
      </c>
      <c r="C19" s="259"/>
      <c r="D19" s="219" t="s">
        <v>120</v>
      </c>
      <c r="E19" s="78"/>
      <c r="F19" s="78"/>
      <c r="G19" s="78"/>
      <c r="H19" s="78"/>
      <c r="I19" s="79"/>
    </row>
    <row r="20" spans="2:9">
      <c r="B20" s="36" t="s">
        <v>121</v>
      </c>
      <c r="C20" s="259"/>
      <c r="D20" s="219" t="s">
        <v>122</v>
      </c>
      <c r="E20" s="78"/>
      <c r="F20" s="78"/>
      <c r="G20" s="78"/>
      <c r="H20" s="78"/>
      <c r="I20" s="79"/>
    </row>
    <row r="21" spans="2:9">
      <c r="B21" s="36" t="s">
        <v>123</v>
      </c>
      <c r="C21" s="259"/>
      <c r="D21" s="219" t="s">
        <v>124</v>
      </c>
      <c r="E21" s="78"/>
      <c r="F21" s="78"/>
      <c r="G21" s="78"/>
      <c r="H21" s="78"/>
      <c r="I21" s="79"/>
    </row>
    <row r="22" spans="2:9">
      <c r="B22" s="36" t="s">
        <v>125</v>
      </c>
      <c r="C22" s="259">
        <v>0</v>
      </c>
      <c r="D22" s="219"/>
      <c r="E22" s="78"/>
      <c r="F22" s="78"/>
      <c r="G22" s="78"/>
      <c r="H22" s="78"/>
      <c r="I22" s="79"/>
    </row>
    <row r="23" spans="2:9">
      <c r="B23" s="36" t="s">
        <v>126</v>
      </c>
      <c r="C23" s="259"/>
      <c r="D23" s="219" t="str">
        <f>IF(C23,"You must complete the Acq/ Rehab with Lower than CTCAC Rent Table in columns K:Q","Please skip the Acq/ Rehab with Lower than CTCAC Rent Table in columns K:Q")</f>
        <v>Please skip the Acq/ Rehab with Lower than CTCAC Rent Table in columns K:Q</v>
      </c>
      <c r="E23" s="78"/>
      <c r="F23" s="78"/>
      <c r="G23" s="78"/>
      <c r="H23" s="78"/>
      <c r="I23" s="79"/>
    </row>
    <row r="24" spans="2:9">
      <c r="B24" s="36"/>
      <c r="C24" s="266"/>
      <c r="D24" s="219"/>
      <c r="E24" s="78"/>
      <c r="F24" s="78"/>
      <c r="G24" s="78"/>
      <c r="H24" s="78"/>
      <c r="I24" s="79"/>
    </row>
    <row r="25" spans="2:9">
      <c r="B25" s="36" t="s">
        <v>127</v>
      </c>
      <c r="C25" s="259"/>
      <c r="D25" s="219" t="s">
        <v>2</v>
      </c>
      <c r="E25" s="78"/>
      <c r="F25" s="78"/>
      <c r="G25" s="78"/>
      <c r="H25" s="78"/>
      <c r="I25" s="79"/>
    </row>
    <row r="26" spans="2:9">
      <c r="B26" s="36" t="s">
        <v>128</v>
      </c>
      <c r="C26" s="259"/>
      <c r="D26" s="219" t="s">
        <v>129</v>
      </c>
      <c r="E26" s="78"/>
      <c r="F26" s="78"/>
      <c r="G26" s="78"/>
      <c r="H26" s="78"/>
      <c r="I26" s="79"/>
    </row>
    <row r="27" spans="2:9">
      <c r="B27" s="36"/>
      <c r="C27" s="266"/>
      <c r="D27" s="219"/>
      <c r="E27" s="78"/>
      <c r="F27" s="78"/>
      <c r="G27" s="78"/>
      <c r="H27" s="78"/>
      <c r="I27" s="79"/>
    </row>
    <row r="28" spans="2:9" ht="16.3" thickBot="1">
      <c r="B28" s="224" t="s">
        <v>130</v>
      </c>
      <c r="C28" s="260">
        <v>0</v>
      </c>
      <c r="D28" s="283" t="s">
        <v>131</v>
      </c>
      <c r="E28" s="284"/>
      <c r="F28" s="284"/>
      <c r="G28" s="284"/>
      <c r="H28" s="284"/>
      <c r="I28" s="285"/>
    </row>
    <row r="29" spans="2:9" ht="16.3" thickBot="1">
      <c r="C29" s="35"/>
    </row>
    <row r="30" spans="2:9" ht="16.3" thickBot="1">
      <c r="B30" s="88" t="s">
        <v>132</v>
      </c>
      <c r="C30" s="97" t="s">
        <v>109</v>
      </c>
      <c r="D30" s="86"/>
      <c r="E30" s="86"/>
      <c r="F30" s="86"/>
      <c r="G30" s="86"/>
      <c r="H30" s="86"/>
      <c r="I30" s="87"/>
    </row>
    <row r="31" spans="2:9" ht="16.3" thickTop="1">
      <c r="B31" s="76" t="s">
        <v>133</v>
      </c>
      <c r="C31" s="202"/>
      <c r="D31" s="77"/>
      <c r="E31" s="78"/>
      <c r="F31" s="78"/>
      <c r="G31" s="78"/>
      <c r="H31" s="78"/>
      <c r="I31" s="79"/>
    </row>
    <row r="32" spans="2:9">
      <c r="B32" s="76" t="s">
        <v>134</v>
      </c>
      <c r="C32" s="270">
        <v>0</v>
      </c>
      <c r="D32" s="77" t="s">
        <v>135</v>
      </c>
      <c r="E32" s="78"/>
      <c r="F32" s="78"/>
      <c r="G32" s="78"/>
      <c r="H32" s="78"/>
      <c r="I32" s="79"/>
    </row>
    <row r="33" spans="2:18">
      <c r="B33" s="76"/>
      <c r="C33" s="269"/>
      <c r="D33" s="77"/>
      <c r="E33" s="78"/>
      <c r="F33" s="78"/>
      <c r="G33" s="78"/>
      <c r="H33" s="78"/>
      <c r="I33" s="79"/>
    </row>
    <row r="34" spans="2:18">
      <c r="B34" s="76" t="s">
        <v>136</v>
      </c>
      <c r="C34" s="264"/>
      <c r="D34" s="77"/>
      <c r="E34" s="78"/>
      <c r="F34" s="78"/>
      <c r="G34" s="78"/>
      <c r="H34" s="78"/>
      <c r="I34" s="79"/>
    </row>
    <row r="35" spans="2:18">
      <c r="B35" s="249" t="s">
        <v>137</v>
      </c>
      <c r="C35" s="107">
        <v>0</v>
      </c>
      <c r="D35" s="44" t="s">
        <v>138</v>
      </c>
      <c r="E35" s="45"/>
      <c r="F35" s="45"/>
      <c r="G35" s="45"/>
      <c r="H35" s="45"/>
      <c r="I35" s="46"/>
    </row>
    <row r="36" spans="2:18">
      <c r="B36" s="249" t="s">
        <v>139</v>
      </c>
      <c r="C36" s="108">
        <v>0</v>
      </c>
      <c r="D36" s="44" t="s">
        <v>140</v>
      </c>
      <c r="E36" s="45"/>
      <c r="F36" s="45"/>
      <c r="G36" s="45"/>
      <c r="H36" s="45"/>
      <c r="I36" s="46"/>
    </row>
    <row r="37" spans="2:18">
      <c r="B37" s="263" t="s">
        <v>141</v>
      </c>
      <c r="C37" s="236"/>
      <c r="D37" s="44" t="s">
        <v>142</v>
      </c>
      <c r="E37" s="45"/>
      <c r="F37" s="45"/>
      <c r="G37" s="45"/>
      <c r="H37" s="45"/>
      <c r="I37" s="46"/>
    </row>
    <row r="38" spans="2:18">
      <c r="B38" s="251" t="s">
        <v>143</v>
      </c>
      <c r="C38" s="236">
        <v>0</v>
      </c>
      <c r="D38" s="44" t="s">
        <v>144</v>
      </c>
      <c r="E38" s="45"/>
      <c r="F38" s="45"/>
      <c r="G38" s="45"/>
      <c r="H38" s="45"/>
      <c r="I38" s="46"/>
    </row>
    <row r="39" spans="2:18">
      <c r="B39" s="36" t="s">
        <v>145</v>
      </c>
      <c r="C39" s="265"/>
      <c r="D39" s="44"/>
      <c r="E39" s="45"/>
      <c r="F39" s="45"/>
      <c r="G39" s="45"/>
      <c r="H39" s="45"/>
      <c r="I39" s="46"/>
    </row>
    <row r="40" spans="2:18">
      <c r="B40" s="249" t="s">
        <v>146</v>
      </c>
      <c r="C40" s="43">
        <v>0</v>
      </c>
      <c r="D40" s="44" t="s">
        <v>147</v>
      </c>
      <c r="E40" s="45"/>
      <c r="F40" s="45"/>
      <c r="G40" s="45"/>
      <c r="H40" s="45"/>
      <c r="I40" s="46"/>
    </row>
    <row r="41" spans="2:18">
      <c r="B41" s="249" t="s">
        <v>148</v>
      </c>
      <c r="C41" s="108">
        <v>0</v>
      </c>
      <c r="D41" s="44" t="s">
        <v>149</v>
      </c>
      <c r="E41" s="45"/>
      <c r="F41" s="45"/>
      <c r="G41" s="45"/>
      <c r="H41" s="45"/>
      <c r="I41" s="46"/>
    </row>
    <row r="42" spans="2:18" ht="16" customHeight="1" thickBot="1">
      <c r="B42" s="250" t="s">
        <v>150</v>
      </c>
      <c r="C42" s="246">
        <v>0</v>
      </c>
      <c r="D42" s="289" t="s">
        <v>151</v>
      </c>
      <c r="E42" s="290"/>
      <c r="F42" s="290"/>
      <c r="G42" s="290"/>
      <c r="H42" s="290"/>
      <c r="I42" s="291"/>
    </row>
    <row r="43" spans="2:18">
      <c r="K43" s="262" t="s">
        <v>152</v>
      </c>
    </row>
    <row r="44" spans="2:18" ht="16.3" thickBot="1">
      <c r="C44" s="261" t="s">
        <v>153</v>
      </c>
      <c r="K44" s="262" t="s">
        <v>154</v>
      </c>
    </row>
    <row r="45" spans="2:18" ht="16.3" thickBot="1">
      <c r="C45" s="261" t="s">
        <v>155</v>
      </c>
      <c r="K45" s="286" t="s">
        <v>156</v>
      </c>
      <c r="L45" s="287"/>
      <c r="M45" s="287"/>
      <c r="N45" s="287"/>
      <c r="O45" s="287"/>
      <c r="P45" s="287"/>
      <c r="Q45" s="288"/>
      <c r="R45" s="1"/>
    </row>
    <row r="46" spans="2:18" ht="16.75" thickTop="1" thickBot="1">
      <c r="B46" s="257" t="s">
        <v>157</v>
      </c>
      <c r="C46" s="97" t="s">
        <v>158</v>
      </c>
      <c r="D46" s="97" t="s">
        <v>159</v>
      </c>
      <c r="E46" s="97" t="s">
        <v>160</v>
      </c>
      <c r="F46" s="97" t="s">
        <v>161</v>
      </c>
      <c r="G46" s="97" t="s">
        <v>162</v>
      </c>
      <c r="H46" s="97" t="s">
        <v>163</v>
      </c>
      <c r="I46" s="85" t="s">
        <v>164</v>
      </c>
      <c r="K46" s="244" t="s">
        <v>165</v>
      </c>
      <c r="L46" s="225" t="s">
        <v>158</v>
      </c>
      <c r="M46" s="225" t="s">
        <v>159</v>
      </c>
      <c r="N46" s="225" t="s">
        <v>160</v>
      </c>
      <c r="O46" s="225" t="s">
        <v>161</v>
      </c>
      <c r="P46" s="225" t="s">
        <v>162</v>
      </c>
      <c r="Q46" s="226" t="s">
        <v>163</v>
      </c>
      <c r="R46" s="239"/>
    </row>
    <row r="47" spans="2:18" ht="16.3" thickTop="1">
      <c r="B47" s="80">
        <v>0.3</v>
      </c>
      <c r="C47" s="81">
        <v>0</v>
      </c>
      <c r="D47" s="81"/>
      <c r="E47" s="81"/>
      <c r="F47" s="81"/>
      <c r="G47" s="81"/>
      <c r="H47" s="81"/>
      <c r="I47" s="227">
        <f t="shared" ref="I47:I61" si="0">SUM(C47:H47)</f>
        <v>0</v>
      </c>
      <c r="K47" s="243">
        <f>B47</f>
        <v>0.3</v>
      </c>
      <c r="L47" s="96"/>
      <c r="M47" s="96"/>
      <c r="N47" s="96"/>
      <c r="O47" s="96"/>
      <c r="P47" s="96"/>
      <c r="Q47" s="82"/>
      <c r="R47" s="32"/>
    </row>
    <row r="48" spans="2:18">
      <c r="B48" s="48">
        <v>0.4</v>
      </c>
      <c r="C48" s="49"/>
      <c r="D48" s="49"/>
      <c r="E48" s="49"/>
      <c r="F48" s="49"/>
      <c r="G48" s="49"/>
      <c r="H48" s="49"/>
      <c r="I48" s="228">
        <f t="shared" si="0"/>
        <v>0</v>
      </c>
      <c r="K48" s="241">
        <f t="shared" ref="K48:K61" si="1">B48</f>
        <v>0.4</v>
      </c>
      <c r="L48" s="43"/>
      <c r="M48" s="43"/>
      <c r="N48" s="43"/>
      <c r="O48" s="43"/>
      <c r="P48" s="43"/>
      <c r="Q48" s="50"/>
      <c r="R48" s="32"/>
    </row>
    <row r="49" spans="2:18">
      <c r="B49" s="48">
        <v>0.45</v>
      </c>
      <c r="C49" s="49"/>
      <c r="D49" s="49"/>
      <c r="E49" s="49"/>
      <c r="F49" s="49"/>
      <c r="G49" s="49"/>
      <c r="H49" s="49"/>
      <c r="I49" s="228">
        <f t="shared" si="0"/>
        <v>0</v>
      </c>
      <c r="K49" s="241">
        <f t="shared" si="1"/>
        <v>0.45</v>
      </c>
      <c r="L49" s="43"/>
      <c r="M49" s="43"/>
      <c r="N49" s="43"/>
      <c r="O49" s="43"/>
      <c r="P49" s="43"/>
      <c r="Q49" s="50"/>
      <c r="R49" s="32"/>
    </row>
    <row r="50" spans="2:18">
      <c r="B50" s="48">
        <v>0.5</v>
      </c>
      <c r="C50" s="49"/>
      <c r="D50" s="49"/>
      <c r="E50" s="49"/>
      <c r="F50" s="49"/>
      <c r="G50" s="49"/>
      <c r="H50" s="49"/>
      <c r="I50" s="228">
        <f t="shared" si="0"/>
        <v>0</v>
      </c>
      <c r="K50" s="241">
        <f t="shared" si="1"/>
        <v>0.5</v>
      </c>
      <c r="L50" s="43"/>
      <c r="M50" s="43"/>
      <c r="N50" s="43"/>
      <c r="O50" s="43"/>
      <c r="P50" s="43"/>
      <c r="Q50" s="50"/>
      <c r="R50" s="32"/>
    </row>
    <row r="51" spans="2:18">
      <c r="B51" s="48">
        <v>0.3</v>
      </c>
      <c r="C51" s="49"/>
      <c r="D51" s="49"/>
      <c r="E51" s="49"/>
      <c r="F51" s="49"/>
      <c r="G51" s="49"/>
      <c r="H51" s="49"/>
      <c r="I51" s="228">
        <f t="shared" si="0"/>
        <v>0</v>
      </c>
      <c r="K51" s="241">
        <f t="shared" si="1"/>
        <v>0.3</v>
      </c>
      <c r="L51" s="43"/>
      <c r="M51" s="43"/>
      <c r="N51" s="43"/>
      <c r="O51" s="43"/>
      <c r="P51" s="43"/>
      <c r="Q51" s="50"/>
      <c r="R51" s="32"/>
    </row>
    <row r="52" spans="2:18">
      <c r="B52" s="48">
        <v>0.4</v>
      </c>
      <c r="C52" s="74"/>
      <c r="D52" s="49"/>
      <c r="E52" s="49"/>
      <c r="F52" s="49"/>
      <c r="G52" s="49"/>
      <c r="H52" s="49"/>
      <c r="I52" s="228">
        <f t="shared" si="0"/>
        <v>0</v>
      </c>
      <c r="K52" s="241">
        <f t="shared" si="1"/>
        <v>0.4</v>
      </c>
      <c r="L52" s="43"/>
      <c r="M52" s="43"/>
      <c r="N52" s="43"/>
      <c r="O52" s="43"/>
      <c r="P52" s="43"/>
      <c r="Q52" s="50"/>
      <c r="R52" s="32"/>
    </row>
    <row r="53" spans="2:18">
      <c r="B53" s="48">
        <v>0.4</v>
      </c>
      <c r="C53" s="49"/>
      <c r="D53" s="49"/>
      <c r="E53" s="49"/>
      <c r="F53" s="49"/>
      <c r="G53" s="49"/>
      <c r="H53" s="49"/>
      <c r="I53" s="228">
        <f t="shared" si="0"/>
        <v>0</v>
      </c>
      <c r="K53" s="241">
        <f t="shared" si="1"/>
        <v>0.4</v>
      </c>
      <c r="L53" s="43"/>
      <c r="M53" s="43"/>
      <c r="N53" s="43"/>
      <c r="O53" s="43"/>
      <c r="P53" s="43"/>
      <c r="Q53" s="50"/>
      <c r="R53" s="32"/>
    </row>
    <row r="54" spans="2:18">
      <c r="B54" s="48">
        <v>0.45</v>
      </c>
      <c r="C54" s="49"/>
      <c r="D54" s="49"/>
      <c r="E54" s="49"/>
      <c r="F54" s="49"/>
      <c r="G54" s="49"/>
      <c r="H54" s="49"/>
      <c r="I54" s="228">
        <f t="shared" si="0"/>
        <v>0</v>
      </c>
      <c r="K54" s="241">
        <f t="shared" si="1"/>
        <v>0.45</v>
      </c>
      <c r="L54" s="43"/>
      <c r="M54" s="43"/>
      <c r="N54" s="43"/>
      <c r="O54" s="43"/>
      <c r="P54" s="43"/>
      <c r="Q54" s="50"/>
      <c r="R54" s="32"/>
    </row>
    <row r="55" spans="2:18">
      <c r="B55" s="48">
        <v>0.45</v>
      </c>
      <c r="C55" s="49"/>
      <c r="D55" s="49"/>
      <c r="E55" s="49"/>
      <c r="F55" s="49"/>
      <c r="G55" s="49"/>
      <c r="H55" s="49"/>
      <c r="I55" s="228">
        <f t="shared" si="0"/>
        <v>0</v>
      </c>
      <c r="K55" s="241">
        <f t="shared" si="1"/>
        <v>0.45</v>
      </c>
      <c r="L55" s="43"/>
      <c r="M55" s="43"/>
      <c r="N55" s="43"/>
      <c r="O55" s="43"/>
      <c r="P55" s="43"/>
      <c r="Q55" s="50"/>
      <c r="R55" s="32"/>
    </row>
    <row r="56" spans="2:18">
      <c r="B56" s="48">
        <v>0.5</v>
      </c>
      <c r="C56" s="49"/>
      <c r="D56" s="49"/>
      <c r="E56" s="49"/>
      <c r="F56" s="49"/>
      <c r="G56" s="49"/>
      <c r="H56" s="49"/>
      <c r="I56" s="228">
        <f t="shared" si="0"/>
        <v>0</v>
      </c>
      <c r="K56" s="241">
        <f t="shared" si="1"/>
        <v>0.5</v>
      </c>
      <c r="L56" s="43"/>
      <c r="M56" s="43"/>
      <c r="N56" s="43"/>
      <c r="O56" s="43"/>
      <c r="P56" s="43"/>
      <c r="Q56" s="50"/>
      <c r="R56" s="32"/>
    </row>
    <row r="57" spans="2:18">
      <c r="B57" s="48">
        <v>0.5</v>
      </c>
      <c r="C57" s="49"/>
      <c r="D57" s="49"/>
      <c r="E57" s="49"/>
      <c r="F57" s="49"/>
      <c r="G57" s="49"/>
      <c r="H57" s="49"/>
      <c r="I57" s="228">
        <f t="shared" si="0"/>
        <v>0</v>
      </c>
      <c r="K57" s="241">
        <f t="shared" si="1"/>
        <v>0.5</v>
      </c>
      <c r="L57" s="43"/>
      <c r="M57" s="43"/>
      <c r="N57" s="43"/>
      <c r="O57" s="43"/>
      <c r="P57" s="43"/>
      <c r="Q57" s="50"/>
      <c r="R57" s="32"/>
    </row>
    <row r="58" spans="2:18">
      <c r="B58" s="48">
        <v>0.55000000000000004</v>
      </c>
      <c r="C58" s="49"/>
      <c r="D58" s="49"/>
      <c r="E58" s="49"/>
      <c r="F58" s="49"/>
      <c r="G58" s="49"/>
      <c r="H58" s="49"/>
      <c r="I58" s="228">
        <f t="shared" si="0"/>
        <v>0</v>
      </c>
      <c r="K58" s="241">
        <f t="shared" si="1"/>
        <v>0.55000000000000004</v>
      </c>
      <c r="L58" s="43"/>
      <c r="M58" s="43"/>
      <c r="N58" s="43"/>
      <c r="O58" s="43"/>
      <c r="P58" s="43"/>
      <c r="Q58" s="50"/>
      <c r="R58" s="32"/>
    </row>
    <row r="59" spans="2:18">
      <c r="B59" s="48">
        <v>0.55000000000000004</v>
      </c>
      <c r="C59" s="49"/>
      <c r="D59" s="49"/>
      <c r="E59" s="49"/>
      <c r="F59" s="49"/>
      <c r="G59" s="49"/>
      <c r="H59" s="49"/>
      <c r="I59" s="228">
        <f t="shared" si="0"/>
        <v>0</v>
      </c>
      <c r="K59" s="241">
        <f t="shared" si="1"/>
        <v>0.55000000000000004</v>
      </c>
      <c r="L59" s="43"/>
      <c r="M59" s="43"/>
      <c r="N59" s="43"/>
      <c r="O59" s="43"/>
      <c r="P59" s="43"/>
      <c r="Q59" s="50"/>
      <c r="R59" s="32"/>
    </row>
    <row r="60" spans="2:18">
      <c r="B60" s="48">
        <v>0.6</v>
      </c>
      <c r="C60" s="49"/>
      <c r="D60" s="49"/>
      <c r="E60" s="49"/>
      <c r="F60" s="49"/>
      <c r="G60" s="49"/>
      <c r="H60" s="49"/>
      <c r="I60" s="228">
        <f t="shared" si="0"/>
        <v>0</v>
      </c>
      <c r="K60" s="241">
        <f t="shared" si="1"/>
        <v>0.6</v>
      </c>
      <c r="L60" s="43"/>
      <c r="M60" s="43"/>
      <c r="N60" s="43"/>
      <c r="O60" s="43"/>
      <c r="P60" s="43"/>
      <c r="Q60" s="50"/>
      <c r="R60" s="32"/>
    </row>
    <row r="61" spans="2:18">
      <c r="B61" s="48">
        <v>0.6</v>
      </c>
      <c r="C61" s="49"/>
      <c r="D61" s="49"/>
      <c r="E61" s="49"/>
      <c r="F61" s="49"/>
      <c r="G61" s="49"/>
      <c r="H61" s="49"/>
      <c r="I61" s="228">
        <f t="shared" si="0"/>
        <v>0</v>
      </c>
      <c r="K61" s="241">
        <f t="shared" si="1"/>
        <v>0.6</v>
      </c>
      <c r="L61" s="43"/>
      <c r="M61" s="43"/>
      <c r="N61" s="43"/>
      <c r="O61" s="43"/>
      <c r="P61" s="43"/>
      <c r="Q61" s="50"/>
      <c r="R61" s="32"/>
    </row>
    <row r="62" spans="2:18" ht="16.3" thickBot="1">
      <c r="B62" s="51" t="s">
        <v>166</v>
      </c>
      <c r="C62" s="52">
        <f>SUM(C47:C61)</f>
        <v>0</v>
      </c>
      <c r="D62" s="52">
        <f t="shared" ref="D62:I62" si="2">SUM(D47:D61)</f>
        <v>0</v>
      </c>
      <c r="E62" s="52">
        <f t="shared" si="2"/>
        <v>0</v>
      </c>
      <c r="F62" s="52">
        <f t="shared" si="2"/>
        <v>0</v>
      </c>
      <c r="G62" s="52">
        <f t="shared" si="2"/>
        <v>0</v>
      </c>
      <c r="H62" s="52">
        <f t="shared" si="2"/>
        <v>0</v>
      </c>
      <c r="I62" s="229">
        <f t="shared" si="2"/>
        <v>0</v>
      </c>
      <c r="K62" s="38"/>
      <c r="L62" s="242"/>
      <c r="M62" s="95"/>
      <c r="N62" s="95"/>
      <c r="O62" s="95"/>
      <c r="P62" s="95"/>
      <c r="Q62" s="57"/>
      <c r="R62" s="32"/>
    </row>
    <row r="63" spans="2:18">
      <c r="B63" s="51"/>
      <c r="C63" s="52"/>
      <c r="D63" s="52"/>
      <c r="E63" s="52"/>
      <c r="F63" s="52"/>
      <c r="G63" s="52"/>
      <c r="H63" s="52"/>
      <c r="I63" s="229"/>
    </row>
    <row r="64" spans="2:18">
      <c r="B64" s="51" t="s">
        <v>167</v>
      </c>
      <c r="C64" s="92">
        <f>IF(I62=0,0,SUMPRODUCT(B47:B61,I47:I61)/I62)</f>
        <v>0</v>
      </c>
      <c r="D64" s="52"/>
      <c r="E64" s="52"/>
      <c r="F64" s="52"/>
      <c r="G64" s="52"/>
      <c r="H64" s="52"/>
      <c r="I64" s="229"/>
    </row>
    <row r="65" spans="2:9">
      <c r="B65" s="51"/>
      <c r="C65" s="52"/>
      <c r="D65" s="52"/>
      <c r="E65" s="52"/>
      <c r="F65" s="52"/>
      <c r="G65" s="52"/>
      <c r="H65" s="52"/>
      <c r="I65" s="229"/>
    </row>
    <row r="66" spans="2:9">
      <c r="B66" s="54" t="s">
        <v>168</v>
      </c>
      <c r="C66" s="49"/>
      <c r="D66" s="49"/>
      <c r="E66" s="49"/>
      <c r="F66" s="49"/>
      <c r="G66" s="49"/>
      <c r="H66" s="49"/>
      <c r="I66" s="228">
        <f>SUM(C66:H66)</f>
        <v>0</v>
      </c>
    </row>
    <row r="67" spans="2:9">
      <c r="B67" s="51" t="s">
        <v>169</v>
      </c>
      <c r="C67" s="52">
        <f>C62+C66</f>
        <v>0</v>
      </c>
      <c r="D67" s="52">
        <f t="shared" ref="D67:H67" si="3">D62+D66</f>
        <v>0</v>
      </c>
      <c r="E67" s="52">
        <f t="shared" si="3"/>
        <v>0</v>
      </c>
      <c r="F67" s="52">
        <f t="shared" si="3"/>
        <v>0</v>
      </c>
      <c r="G67" s="52">
        <f t="shared" si="3"/>
        <v>0</v>
      </c>
      <c r="H67" s="52">
        <f t="shared" si="3"/>
        <v>0</v>
      </c>
      <c r="I67" s="229">
        <f>I62+I66</f>
        <v>0</v>
      </c>
    </row>
    <row r="68" spans="2:9" ht="16.3" thickBot="1">
      <c r="B68" s="55"/>
      <c r="C68" s="56"/>
      <c r="D68" s="56"/>
      <c r="E68" s="56"/>
      <c r="F68" s="56"/>
      <c r="G68" s="56"/>
      <c r="H68" s="56"/>
      <c r="I68" s="93"/>
    </row>
    <row r="70" spans="2:9" ht="16.3" thickBot="1">
      <c r="B70" s="213" t="s">
        <v>103</v>
      </c>
      <c r="C70" s="214">
        <f>IFERROR(C72+C80+C94+C109,0)</f>
        <v>0</v>
      </c>
      <c r="D70" s="20"/>
      <c r="F70" s="213" t="s">
        <v>105</v>
      </c>
      <c r="G70" s="213"/>
      <c r="H70" s="214" t="e">
        <f>H90</f>
        <v>#N/A</v>
      </c>
    </row>
    <row r="71" spans="2:9" ht="16.75" thickTop="1" thickBot="1">
      <c r="D71" s="215"/>
    </row>
    <row r="72" spans="2:9" ht="16.3" thickBot="1">
      <c r="B72" s="216" t="s">
        <v>170</v>
      </c>
      <c r="C72" s="217" t="e">
        <f>(C75-C78)*180</f>
        <v>#N/A</v>
      </c>
      <c r="D72" s="218"/>
      <c r="F72" s="88" t="s">
        <v>171</v>
      </c>
      <c r="G72" s="118" t="s">
        <v>172</v>
      </c>
      <c r="H72" s="89">
        <f>SUM(H73:H77)</f>
        <v>0</v>
      </c>
    </row>
    <row r="73" spans="2:9" ht="16.75" thickTop="1" thickBot="1">
      <c r="F73" s="76" t="s">
        <v>173</v>
      </c>
      <c r="G73" s="116"/>
      <c r="H73" s="117">
        <f>IF(C31=4%,MAX(C35,C32*30%),0)</f>
        <v>0</v>
      </c>
    </row>
    <row r="74" spans="2:9" ht="32.15" thickBot="1">
      <c r="B74" s="84" t="s">
        <v>170</v>
      </c>
      <c r="C74" s="89"/>
      <c r="E74" s="206"/>
      <c r="F74" s="267" t="str">
        <f>B41&amp;" Request"</f>
        <v>State Tax Credits - 4% New Construction Request</v>
      </c>
      <c r="G74" s="39"/>
      <c r="H74" s="53">
        <f>IF(C31=4%,C41,0)</f>
        <v>0</v>
      </c>
    </row>
    <row r="75" spans="2:9" ht="16.3" thickTop="1">
      <c r="B75" s="75" t="s">
        <v>174</v>
      </c>
      <c r="C75" s="83" t="e">
        <f>'Tiebreaker Calculation'!C121*C62+'Tiebreaker Calculation'!D121*D62+'Tiebreaker Calculation'!E121*E62+'Tiebreaker Calculation'!F121*F62+'Tiebreaker Calculation'!G121*G62+'Tiebreaker Calculation'!H121*H62</f>
        <v>#N/A</v>
      </c>
      <c r="F75" s="267" t="s">
        <v>175</v>
      </c>
      <c r="G75" s="102"/>
      <c r="H75" s="101">
        <f>IF(C31=9%,C40*10,0)</f>
        <v>0</v>
      </c>
    </row>
    <row r="76" spans="2:9" ht="31.75">
      <c r="B76" s="36" t="s">
        <v>176</v>
      </c>
      <c r="C76" s="53" t="e">
        <f>SUM('Tiebreaker Calculation'!C148:H148)</f>
        <v>#N/A</v>
      </c>
      <c r="F76" s="267" t="str">
        <f>B42&amp;" Request"</f>
        <v>State Tax Credits - All Others Request</v>
      </c>
      <c r="G76" s="102"/>
      <c r="H76" s="101">
        <f>C42</f>
        <v>0</v>
      </c>
      <c r="I76" s="32"/>
    </row>
    <row r="77" spans="2:9">
      <c r="B77" s="36" t="s">
        <v>177</v>
      </c>
      <c r="C77" s="53" t="e">
        <f>SUM(C167:H167)</f>
        <v>#N/A</v>
      </c>
      <c r="F77" s="267" t="s">
        <v>178</v>
      </c>
      <c r="G77" s="102"/>
      <c r="H77" s="53">
        <f>C36+IF(C38&gt;3000000,C38,0)</f>
        <v>0</v>
      </c>
      <c r="I77" s="32"/>
    </row>
    <row r="78" spans="2:9" ht="16.3" thickBot="1">
      <c r="B78" s="38" t="s">
        <v>179</v>
      </c>
      <c r="C78" s="57" t="e">
        <f>IF(C23,C77,C76)</f>
        <v>#N/A</v>
      </c>
      <c r="F78" s="268"/>
      <c r="G78" s="103"/>
      <c r="H78" s="94"/>
    </row>
    <row r="79" spans="2:9" ht="31.75">
      <c r="B79" s="1"/>
      <c r="F79" s="37" t="str">
        <f>"Adj. "&amp;F73</f>
        <v>Adj. Tax Exempt Bond Request</v>
      </c>
      <c r="G79" s="104">
        <v>1</v>
      </c>
      <c r="H79" s="53">
        <f>H73*G79</f>
        <v>0</v>
      </c>
    </row>
    <row r="80" spans="2:9" ht="32.15" thickBot="1">
      <c r="B80" s="216" t="s">
        <v>180</v>
      </c>
      <c r="C80" s="217" t="e">
        <f>C82+C90</f>
        <v>#VALUE!</v>
      </c>
      <c r="D80" s="218"/>
      <c r="F80" s="37" t="str">
        <f t="shared" ref="F80:F83" si="4">"Adj. "&amp;F74</f>
        <v>Adj. State Tax Credits - 4% New Construction Request</v>
      </c>
      <c r="G80" s="104">
        <v>1</v>
      </c>
      <c r="H80" s="53">
        <f>H74*G80</f>
        <v>0</v>
      </c>
    </row>
    <row r="81" spans="2:13" ht="32.6" thickTop="1" thickBot="1">
      <c r="F81" s="37" t="str">
        <f t="shared" si="4"/>
        <v>Adj. 9% LIHTC Request (Total)</v>
      </c>
      <c r="G81" s="110">
        <f>1-15%</f>
        <v>0.85</v>
      </c>
      <c r="H81" s="53">
        <f>H75*G81</f>
        <v>0</v>
      </c>
      <c r="M81" s="245"/>
    </row>
    <row r="82" spans="2:13" ht="32.15" thickBot="1">
      <c r="B82" s="84" t="s">
        <v>181</v>
      </c>
      <c r="C82" s="90">
        <f>SUMPRODUCT(C84:C88,D84:D88)*180</f>
        <v>0</v>
      </c>
      <c r="D82" s="91"/>
      <c r="F82" s="37" t="str">
        <f t="shared" si="4"/>
        <v>Adj. State Tax Credits - All Others Request</v>
      </c>
      <c r="G82" s="110">
        <f>IF(C31=9%,G81,G80)</f>
        <v>1</v>
      </c>
      <c r="H82" s="53">
        <f>H76*G82</f>
        <v>0</v>
      </c>
    </row>
    <row r="83" spans="2:13" ht="16.3" thickTop="1">
      <c r="B83" s="75" t="s">
        <v>182</v>
      </c>
      <c r="C83" s="234" t="s">
        <v>183</v>
      </c>
      <c r="D83" s="235" t="s">
        <v>184</v>
      </c>
      <c r="F83" s="37" t="str">
        <f t="shared" si="4"/>
        <v>Adj. HDFC Resource Request</v>
      </c>
      <c r="G83" s="104">
        <v>1</v>
      </c>
      <c r="H83" s="53">
        <f>H77*G83</f>
        <v>0</v>
      </c>
    </row>
    <row r="84" spans="2:13">
      <c r="B84" s="36" t="s">
        <v>185</v>
      </c>
      <c r="C84" s="39">
        <f>SUMIFS(I47:I61,B47:B61,"&lt;=30%")</f>
        <v>0</v>
      </c>
      <c r="D84" s="109">
        <v>1250</v>
      </c>
      <c r="E84" s="32"/>
      <c r="F84" s="268" t="s">
        <v>186</v>
      </c>
      <c r="G84" s="105"/>
      <c r="H84" s="94">
        <f>SUM(H79:H83)</f>
        <v>0</v>
      </c>
    </row>
    <row r="85" spans="2:13">
      <c r="B85" s="36" t="s">
        <v>187</v>
      </c>
      <c r="C85" s="39">
        <f>SUMIFS(I$47:I$61,B$47:B$61,"&gt;30%",B$47:B$61,"&lt;=35%")</f>
        <v>0</v>
      </c>
      <c r="D85" s="109">
        <v>1000</v>
      </c>
      <c r="E85" s="32"/>
      <c r="F85" s="36"/>
      <c r="G85" s="39"/>
      <c r="H85" s="40"/>
    </row>
    <row r="86" spans="2:13">
      <c r="B86" s="36" t="s">
        <v>188</v>
      </c>
      <c r="C86" s="39">
        <f>SUMIFS(I$47:I$61,B$47:B$61,"&gt;35%",B$47:B$61,"&lt;=40%")</f>
        <v>0</v>
      </c>
      <c r="D86" s="109">
        <v>750</v>
      </c>
      <c r="E86" s="32"/>
      <c r="F86" s="36" t="s">
        <v>189</v>
      </c>
      <c r="G86" s="106">
        <f>IF(C25,15%,0)</f>
        <v>0</v>
      </c>
      <c r="H86" s="53">
        <f>G86*H$84</f>
        <v>0</v>
      </c>
    </row>
    <row r="87" spans="2:13">
      <c r="B87" s="36" t="s">
        <v>190</v>
      </c>
      <c r="C87" s="39">
        <f>SUMIFS(I$47:I$61,B$47:B$61,"&gt;40%",B$47:B$61,"&lt;=45%")</f>
        <v>0</v>
      </c>
      <c r="D87" s="109">
        <v>500</v>
      </c>
      <c r="E87" s="32"/>
      <c r="F87" s="36" t="s">
        <v>191</v>
      </c>
      <c r="G87" s="106">
        <f>IF(C26,3%,0)</f>
        <v>0</v>
      </c>
      <c r="H87" s="53">
        <f>G87*H$84</f>
        <v>0</v>
      </c>
    </row>
    <row r="88" spans="2:13" ht="16.3" thickBot="1">
      <c r="B88" s="38" t="s">
        <v>192</v>
      </c>
      <c r="C88" s="42">
        <f>SUMIFS(I$47:I$61,B$47:B$61,"&gt;45%",B$47:B$61,"&lt;=50%")</f>
        <v>0</v>
      </c>
      <c r="D88" s="220">
        <v>250</v>
      </c>
      <c r="E88" s="32"/>
      <c r="F88" s="36" t="s">
        <v>193</v>
      </c>
      <c r="G88" s="106" t="e">
        <f>VLOOKUP(C12,B177:H234,7,FALSE)*25%</f>
        <v>#N/A</v>
      </c>
      <c r="H88" s="53" t="e">
        <f>G88*H$84</f>
        <v>#N/A</v>
      </c>
    </row>
    <row r="89" spans="2:13" ht="16.3" thickBot="1">
      <c r="F89" s="36" t="s">
        <v>194</v>
      </c>
      <c r="G89" s="106">
        <f>IFERROR(MIN(C28/H84,15%),0)</f>
        <v>0</v>
      </c>
      <c r="H89" s="53">
        <f>G89*H$84</f>
        <v>0</v>
      </c>
    </row>
    <row r="90" spans="2:13" ht="16.3" thickBot="1">
      <c r="B90" s="84" t="s">
        <v>195</v>
      </c>
      <c r="C90" s="119" t="e">
        <f>C92*D92</f>
        <v>#VALUE!</v>
      </c>
      <c r="D90" s="89"/>
      <c r="F90" s="221" t="s">
        <v>196</v>
      </c>
      <c r="G90" s="222" t="e">
        <f>1-SUM(G86:G89)</f>
        <v>#N/A</v>
      </c>
      <c r="H90" s="223" t="e">
        <f>H84-SUM(H86:H89)</f>
        <v>#N/A</v>
      </c>
    </row>
    <row r="91" spans="2:13" ht="16.3" thickTop="1">
      <c r="B91" s="120" t="s">
        <v>182</v>
      </c>
      <c r="C91" s="232" t="s">
        <v>197</v>
      </c>
      <c r="D91" s="233" t="s">
        <v>184</v>
      </c>
    </row>
    <row r="92" spans="2:13" ht="33" customHeight="1" thickBot="1">
      <c r="B92" s="41" t="s">
        <v>198</v>
      </c>
      <c r="C92" s="47" t="e">
        <f>MIN(C22,ROUNDDOWN(I62*IF(OR(C21,C20),50%,25%),0))</f>
        <v>#VALUE!</v>
      </c>
      <c r="D92" s="57">
        <f>IFERROR(IF(AND(C22/I62&gt;25%,OR(C20,C21)),300000,100000),0)</f>
        <v>0</v>
      </c>
    </row>
    <row r="94" spans="2:13" ht="16.3" thickBot="1">
      <c r="B94" s="216" t="s">
        <v>199</v>
      </c>
      <c r="C94" s="217" t="e">
        <f>MAX(C96,C101,C105)</f>
        <v>#VALUE!</v>
      </c>
      <c r="D94" s="218"/>
    </row>
    <row r="95" spans="2:13" ht="16.75" thickTop="1" thickBot="1"/>
    <row r="96" spans="2:13" ht="16.3" thickBot="1">
      <c r="B96" s="84" t="s">
        <v>200</v>
      </c>
      <c r="C96" s="90" t="e">
        <f>MAX(D98,D99)*C98</f>
        <v>#VALUE!</v>
      </c>
      <c r="D96" s="91"/>
    </row>
    <row r="97" spans="2:17" ht="16.3" thickTop="1">
      <c r="B97" s="73" t="s">
        <v>201</v>
      </c>
      <c r="C97" s="230" t="s">
        <v>202</v>
      </c>
      <c r="D97" s="231" t="s">
        <v>184</v>
      </c>
    </row>
    <row r="98" spans="2:17">
      <c r="B98" s="36" t="s">
        <v>114</v>
      </c>
      <c r="C98" s="247">
        <f>H129</f>
        <v>0</v>
      </c>
      <c r="D98" s="53" t="e">
        <f>IF(OR(C19,C20),IF(C15="Moderate",10000,IF(C15="High",20000,IF(C15="Highest",30000,0))),0)</f>
        <v>#VALUE!</v>
      </c>
    </row>
    <row r="99" spans="2:17" ht="16.3" thickBot="1">
      <c r="B99" s="41" t="s">
        <v>203</v>
      </c>
      <c r="C99" s="248">
        <f>H129</f>
        <v>0</v>
      </c>
      <c r="D99" s="57">
        <f>IF(C16,30000,0)</f>
        <v>0</v>
      </c>
    </row>
    <row r="100" spans="2:17" ht="16.3" thickBot="1"/>
    <row r="101" spans="2:17" ht="16.3" thickBot="1">
      <c r="B101" s="84" t="s">
        <v>204</v>
      </c>
      <c r="C101" s="90">
        <f>C103*D103</f>
        <v>0</v>
      </c>
      <c r="D101" s="91"/>
    </row>
    <row r="102" spans="2:17" ht="16.3" thickTop="1">
      <c r="B102" s="73" t="s">
        <v>201</v>
      </c>
      <c r="C102" s="230" t="s">
        <v>202</v>
      </c>
      <c r="D102" s="231" t="s">
        <v>184</v>
      </c>
    </row>
    <row r="103" spans="2:17" ht="16.3" thickBot="1">
      <c r="B103" s="38" t="s">
        <v>205</v>
      </c>
      <c r="C103" s="248">
        <f>H129</f>
        <v>0</v>
      </c>
      <c r="D103" s="57">
        <f>IF(C17,20000,0)</f>
        <v>0</v>
      </c>
      <c r="E103" s="205"/>
    </row>
    <row r="104" spans="2:17" ht="16.3" thickBot="1"/>
    <row r="105" spans="2:17" ht="16.3" thickBot="1">
      <c r="B105" s="84" t="s">
        <v>206</v>
      </c>
      <c r="C105" s="90">
        <f>C107*D107</f>
        <v>0</v>
      </c>
      <c r="D105" s="91"/>
    </row>
    <row r="106" spans="2:17" ht="16.3" thickTop="1">
      <c r="B106" s="73" t="s">
        <v>201</v>
      </c>
      <c r="C106" s="230" t="s">
        <v>202</v>
      </c>
      <c r="D106" s="231" t="s">
        <v>184</v>
      </c>
    </row>
    <row r="107" spans="2:17" ht="16.3" thickBot="1">
      <c r="B107" s="38" t="s">
        <v>206</v>
      </c>
      <c r="C107" s="248">
        <f>H129</f>
        <v>0</v>
      </c>
      <c r="D107" s="57">
        <f>IF(C13,20000,0)</f>
        <v>0</v>
      </c>
      <c r="E107" s="205"/>
    </row>
    <row r="108" spans="2:17">
      <c r="I108" s="32"/>
      <c r="K108" s="34"/>
      <c r="L108" s="32"/>
      <c r="M108" s="32"/>
      <c r="N108" s="32"/>
      <c r="O108" s="32"/>
      <c r="P108" s="32"/>
      <c r="Q108" s="32"/>
    </row>
    <row r="109" spans="2:17" ht="16.3" thickBot="1">
      <c r="B109" s="216" t="s">
        <v>207</v>
      </c>
      <c r="C109" s="217">
        <f>C111</f>
        <v>0</v>
      </c>
      <c r="D109" s="218"/>
      <c r="I109" s="32"/>
      <c r="K109" s="34"/>
      <c r="L109" s="32"/>
      <c r="M109" s="32"/>
      <c r="N109" s="32"/>
      <c r="O109" s="32"/>
      <c r="P109" s="32"/>
      <c r="Q109" s="32"/>
    </row>
    <row r="110" spans="2:17" ht="16.75" thickTop="1" thickBot="1">
      <c r="I110" s="32"/>
      <c r="K110" s="34"/>
      <c r="L110" s="32"/>
      <c r="M110" s="32"/>
      <c r="N110" s="32"/>
      <c r="O110" s="32"/>
      <c r="P110" s="32"/>
      <c r="Q110" s="32"/>
    </row>
    <row r="111" spans="2:17" ht="16.3" thickBot="1">
      <c r="B111" s="84" t="s">
        <v>207</v>
      </c>
      <c r="C111" s="90">
        <f>C113*D113</f>
        <v>0</v>
      </c>
      <c r="D111" s="91"/>
      <c r="I111" s="32"/>
      <c r="K111" s="34"/>
      <c r="L111" s="32"/>
      <c r="M111" s="32"/>
      <c r="N111" s="32"/>
      <c r="O111" s="32"/>
      <c r="P111" s="32"/>
      <c r="Q111" s="32"/>
    </row>
    <row r="112" spans="2:17" ht="16.3" thickTop="1">
      <c r="B112" s="73" t="s">
        <v>201</v>
      </c>
      <c r="C112" s="230" t="s">
        <v>202</v>
      </c>
      <c r="D112" s="231" t="s">
        <v>184</v>
      </c>
      <c r="I112" s="32"/>
      <c r="K112" s="34"/>
      <c r="L112" s="33"/>
      <c r="M112" s="33"/>
      <c r="N112" s="33"/>
      <c r="O112" s="33"/>
      <c r="P112" s="33"/>
      <c r="Q112" s="33"/>
    </row>
    <row r="113" spans="1:17" ht="16.3" thickBot="1">
      <c r="B113" s="38" t="s">
        <v>207</v>
      </c>
      <c r="C113" s="271">
        <f>H129</f>
        <v>0</v>
      </c>
      <c r="D113" s="57">
        <f>IF(C37,65000,0)</f>
        <v>0</v>
      </c>
      <c r="E113" s="205"/>
      <c r="I113" s="32"/>
      <c r="K113" s="34"/>
      <c r="L113" s="33"/>
      <c r="M113" s="33"/>
      <c r="N113" s="33"/>
      <c r="O113" s="33"/>
      <c r="P113" s="33"/>
      <c r="Q113" s="33"/>
    </row>
    <row r="114" spans="1:17">
      <c r="I114" s="32"/>
      <c r="K114" s="34"/>
      <c r="L114" s="33"/>
      <c r="M114" s="33"/>
      <c r="N114" s="33"/>
      <c r="O114" s="33"/>
      <c r="P114" s="33"/>
      <c r="Q114" s="33"/>
    </row>
    <row r="115" spans="1:17">
      <c r="I115" s="32"/>
      <c r="K115" s="34"/>
      <c r="L115" s="33"/>
      <c r="M115" s="33"/>
      <c r="N115" s="33"/>
      <c r="O115" s="33"/>
      <c r="P115" s="33"/>
      <c r="Q115" s="33"/>
    </row>
    <row r="116" spans="1:17" s="252" customFormat="1" ht="16.3" thickBot="1">
      <c r="A116" s="256" t="s">
        <v>208</v>
      </c>
      <c r="I116" s="253"/>
      <c r="K116" s="254"/>
      <c r="L116" s="255"/>
      <c r="M116" s="255"/>
      <c r="N116" s="255"/>
      <c r="O116" s="255"/>
      <c r="P116" s="255"/>
      <c r="Q116" s="255"/>
    </row>
    <row r="117" spans="1:17">
      <c r="I117" s="32"/>
      <c r="K117" s="34"/>
      <c r="L117" s="33"/>
      <c r="M117" s="33"/>
      <c r="N117" s="33"/>
      <c r="O117" s="33"/>
      <c r="P117" s="33"/>
      <c r="Q117" s="33"/>
    </row>
    <row r="118" spans="1:17" ht="16.3" thickBot="1">
      <c r="I118" s="32"/>
      <c r="K118" s="34"/>
      <c r="L118" s="33"/>
      <c r="M118" s="33"/>
      <c r="N118" s="33"/>
      <c r="O118" s="33"/>
      <c r="P118" s="33"/>
      <c r="Q118" s="33"/>
    </row>
    <row r="119" spans="1:17">
      <c r="B119" s="70" t="s">
        <v>209</v>
      </c>
      <c r="C119" s="71" t="s">
        <v>158</v>
      </c>
      <c r="D119" s="71" t="s">
        <v>159</v>
      </c>
      <c r="E119" s="71" t="s">
        <v>160</v>
      </c>
      <c r="F119" s="71" t="s">
        <v>161</v>
      </c>
      <c r="G119" s="71" t="s">
        <v>162</v>
      </c>
      <c r="H119" s="72" t="s">
        <v>163</v>
      </c>
    </row>
    <row r="120" spans="1:17">
      <c r="B120" s="60" t="s">
        <v>210</v>
      </c>
      <c r="C120" s="64" t="e">
        <f>VLOOKUP('Tiebreaker Calculation'!$C$12,'Tiebreaker Calculation'!$B$176:$G$234,2,FALSE)</f>
        <v>#N/A</v>
      </c>
      <c r="D120" s="64" t="e">
        <f>VLOOKUP('Tiebreaker Calculation'!$C$12,'Tiebreaker Calculation'!$B$176:$G$234,3,FALSE)</f>
        <v>#N/A</v>
      </c>
      <c r="E120" s="64" t="e">
        <f>VLOOKUP('Tiebreaker Calculation'!$C$12,'Tiebreaker Calculation'!$B$176:$G$234,4,FALSE)</f>
        <v>#N/A</v>
      </c>
      <c r="F120" s="64" t="e">
        <f>VLOOKUP('Tiebreaker Calculation'!$C$12,'Tiebreaker Calculation'!$B$176:$G$234,5,FALSE)</f>
        <v>#N/A</v>
      </c>
      <c r="G120" s="64" t="e">
        <f>VLOOKUP('Tiebreaker Calculation'!$C$12,'Tiebreaker Calculation'!$B$176:$G$234,6,FALSE)</f>
        <v>#N/A</v>
      </c>
      <c r="H120" s="65" t="e">
        <f>G120</f>
        <v>#N/A</v>
      </c>
    </row>
    <row r="121" spans="1:17">
      <c r="B121" s="60" t="s">
        <v>211</v>
      </c>
      <c r="C121" s="237" t="e">
        <f>VLOOKUP('Tiebreaker Calculation'!$C$12,'Tiebreaker Calculation'!$J$176:$O$234,2,FALSE)</f>
        <v>#N/A</v>
      </c>
      <c r="D121" s="237" t="e">
        <f>VLOOKUP('Tiebreaker Calculation'!$C$12,'Tiebreaker Calculation'!$J$176:$O$234,3,FALSE)</f>
        <v>#N/A</v>
      </c>
      <c r="E121" s="237" t="e">
        <f>VLOOKUP('Tiebreaker Calculation'!$C$12,'Tiebreaker Calculation'!$J$176:$O$234,4,FALSE)</f>
        <v>#N/A</v>
      </c>
      <c r="F121" s="237" t="e">
        <f>VLOOKUP('Tiebreaker Calculation'!$C$12,'Tiebreaker Calculation'!$J$176:$O$234,5,FALSE)</f>
        <v>#N/A</v>
      </c>
      <c r="G121" s="64" t="e">
        <f>VLOOKUP('Tiebreaker Calculation'!$C$12,'Tiebreaker Calculation'!$J$176:$O$234,6,FALSE)</f>
        <v>#N/A</v>
      </c>
      <c r="H121" s="65" t="e">
        <f>1.15*G121</f>
        <v>#N/A</v>
      </c>
    </row>
    <row r="122" spans="1:17">
      <c r="B122" s="60" t="s">
        <v>212</v>
      </c>
      <c r="C122" s="64" t="e">
        <f>VLOOKUP('Tiebreaker Calculation'!$C$12,'Tiebreaker Calculation'!$Q$176:$W$234,2,FALSE)</f>
        <v>#N/A</v>
      </c>
      <c r="D122" s="64" t="e">
        <f>VLOOKUP('Tiebreaker Calculation'!$C$12,'Tiebreaker Calculation'!$Q$176:$W$234,3,FALSE)</f>
        <v>#N/A</v>
      </c>
      <c r="E122" s="64" t="e">
        <f>VLOOKUP('Tiebreaker Calculation'!$C$12,'Tiebreaker Calculation'!$Q$176:$W$234,4,FALSE)</f>
        <v>#N/A</v>
      </c>
      <c r="F122" s="64" t="e">
        <f>VLOOKUP('Tiebreaker Calculation'!$C$12,'Tiebreaker Calculation'!$Q$176:$W$234,5,FALSE)</f>
        <v>#N/A</v>
      </c>
      <c r="G122" s="64" t="e">
        <f>VLOOKUP('Tiebreaker Calculation'!$C$12,'Tiebreaker Calculation'!$Q$176:$W$234,6,FALSE)</f>
        <v>#N/A</v>
      </c>
      <c r="H122" s="65" t="e">
        <f>VLOOKUP('Tiebreaker Calculation'!$C$12,'Tiebreaker Calculation'!$Q$176:$W$234,7,FALSE)</f>
        <v>#N/A</v>
      </c>
    </row>
    <row r="123" spans="1:17" ht="16.3" thickBot="1">
      <c r="B123" s="62"/>
      <c r="C123" s="30"/>
      <c r="D123" s="30"/>
      <c r="E123" s="30"/>
      <c r="F123" s="30"/>
      <c r="G123" s="30"/>
      <c r="H123" s="31"/>
    </row>
    <row r="124" spans="1:17" ht="16.3" thickBot="1"/>
    <row r="125" spans="1:17">
      <c r="B125" s="70" t="s">
        <v>213</v>
      </c>
      <c r="C125" s="71" t="s">
        <v>158</v>
      </c>
      <c r="D125" s="71" t="s">
        <v>159</v>
      </c>
      <c r="E125" s="71" t="s">
        <v>160</v>
      </c>
      <c r="F125" s="71" t="s">
        <v>161</v>
      </c>
      <c r="G125" s="71" t="s">
        <v>214</v>
      </c>
      <c r="H125" s="72" t="s">
        <v>164</v>
      </c>
    </row>
    <row r="126" spans="1:17">
      <c r="B126" s="60" t="s">
        <v>215</v>
      </c>
      <c r="C126" s="67">
        <f>'Tiebreaker Calculation'!C62</f>
        <v>0</v>
      </c>
      <c r="D126" s="67">
        <f>'Tiebreaker Calculation'!D62</f>
        <v>0</v>
      </c>
      <c r="E126" s="67">
        <f>'Tiebreaker Calculation'!E62</f>
        <v>0</v>
      </c>
      <c r="F126" s="67">
        <f>'Tiebreaker Calculation'!F62</f>
        <v>0</v>
      </c>
      <c r="G126" s="67">
        <f>'Tiebreaker Calculation'!G62+'Tiebreaker Calculation'!H62</f>
        <v>0</v>
      </c>
      <c r="H126" s="68">
        <f>SUM(C126:G126)</f>
        <v>0</v>
      </c>
    </row>
    <row r="127" spans="1:17">
      <c r="B127" s="60" t="s">
        <v>216</v>
      </c>
      <c r="C127" s="67">
        <f>C126</f>
        <v>0</v>
      </c>
      <c r="D127" s="67">
        <f>D126</f>
        <v>0</v>
      </c>
      <c r="E127" s="67">
        <f>E126+F126+G126-G127-F127</f>
        <v>0</v>
      </c>
      <c r="F127" s="20">
        <f>MIN(F126,ROUNDDOWN(30%*'Tiebreaker Calculation'!$I$62,0))</f>
        <v>0</v>
      </c>
      <c r="G127" s="20">
        <f>MIN(G126,ROUNDDOWN(10%*'Tiebreaker Calculation'!$I$62,0))</f>
        <v>0</v>
      </c>
      <c r="H127" s="68">
        <f>SUM(C127:G127)</f>
        <v>0</v>
      </c>
    </row>
    <row r="128" spans="1:17">
      <c r="B128" s="60" t="s">
        <v>172</v>
      </c>
      <c r="C128" s="20">
        <v>0.9</v>
      </c>
      <c r="D128" s="20">
        <v>1</v>
      </c>
      <c r="E128" s="20">
        <v>1.25</v>
      </c>
      <c r="F128" s="20">
        <v>1.5</v>
      </c>
      <c r="G128" s="20">
        <v>1.75</v>
      </c>
      <c r="H128" s="68">
        <f>SUM(C128:G128)</f>
        <v>6.4</v>
      </c>
    </row>
    <row r="129" spans="2:20">
      <c r="B129" s="60" t="s">
        <v>217</v>
      </c>
      <c r="C129" s="20">
        <f>C127*C128</f>
        <v>0</v>
      </c>
      <c r="D129" s="20">
        <f>D127*D128</f>
        <v>0</v>
      </c>
      <c r="E129" s="20">
        <f>E127*E128</f>
        <v>0</v>
      </c>
      <c r="F129" s="20">
        <f>F127*F128</f>
        <v>0</v>
      </c>
      <c r="G129" s="20">
        <f>G127*G128</f>
        <v>0</v>
      </c>
      <c r="H129" s="68">
        <f>SUM(C129:G129)</f>
        <v>0</v>
      </c>
      <c r="P129" s="32"/>
    </row>
    <row r="130" spans="2:20" ht="16.3" thickBot="1">
      <c r="B130" s="62"/>
      <c r="C130" s="30"/>
      <c r="D130" s="30"/>
      <c r="E130" s="30"/>
      <c r="F130" s="30"/>
      <c r="G130" s="30"/>
      <c r="H130" s="31"/>
    </row>
    <row r="131" spans="2:20" ht="16.3" thickBot="1"/>
    <row r="132" spans="2:20">
      <c r="B132" s="70" t="s">
        <v>218</v>
      </c>
      <c r="C132" s="63" t="s">
        <v>158</v>
      </c>
      <c r="D132" s="63" t="s">
        <v>159</v>
      </c>
      <c r="E132" s="63" t="s">
        <v>160</v>
      </c>
      <c r="F132" s="63" t="s">
        <v>161</v>
      </c>
      <c r="G132" s="63" t="s">
        <v>162</v>
      </c>
      <c r="H132" s="58" t="s">
        <v>163</v>
      </c>
    </row>
    <row r="133" spans="2:20">
      <c r="B133" s="61">
        <f>IF('Tiebreaker Calculation'!$C$64&lt;=30%,30%,'Tiebreaker Calculation'!B47)</f>
        <v>0.3</v>
      </c>
      <c r="C133" s="64" t="e">
        <f>MIN($B133*'Tiebreaker Calculation'!C$122,C$121)*'Tiebreaker Calculation'!C47</f>
        <v>#N/A</v>
      </c>
      <c r="D133" s="64" t="e">
        <f>MIN($B133*'Tiebreaker Calculation'!D$122,D$121)*'Tiebreaker Calculation'!D47</f>
        <v>#N/A</v>
      </c>
      <c r="E133" s="64" t="e">
        <f>MIN($B133*'Tiebreaker Calculation'!E$122,E$121)*'Tiebreaker Calculation'!E47</f>
        <v>#N/A</v>
      </c>
      <c r="F133" s="64" t="e">
        <f>MIN($B133*'Tiebreaker Calculation'!F$122,F$121)*'Tiebreaker Calculation'!F47</f>
        <v>#N/A</v>
      </c>
      <c r="G133" s="64" t="e">
        <f>MIN($B133*'Tiebreaker Calculation'!G$122,G$121)*'Tiebreaker Calculation'!G47</f>
        <v>#N/A</v>
      </c>
      <c r="H133" s="65" t="e">
        <f>MIN($B133*'Tiebreaker Calculation'!H$122,H$121)*'Tiebreaker Calculation'!H47</f>
        <v>#N/A</v>
      </c>
      <c r="J133" s="33"/>
      <c r="K133" s="33"/>
      <c r="L133" s="33"/>
      <c r="M133" s="33"/>
      <c r="N133" s="33"/>
      <c r="P133" s="32"/>
      <c r="Q133" s="32"/>
      <c r="R133" s="32"/>
      <c r="S133" s="32"/>
      <c r="T133" s="32"/>
    </row>
    <row r="134" spans="2:20">
      <c r="B134" s="61">
        <f>IF('Tiebreaker Calculation'!$C$64&lt;=30%,30%,'Tiebreaker Calculation'!B48)</f>
        <v>0.3</v>
      </c>
      <c r="C134" s="64" t="e">
        <f>MIN($B134*'Tiebreaker Calculation'!C$122,C$121)*'Tiebreaker Calculation'!C48</f>
        <v>#N/A</v>
      </c>
      <c r="D134" s="64" t="e">
        <f>MIN($B134*'Tiebreaker Calculation'!D$122,D$121)*'Tiebreaker Calculation'!D48</f>
        <v>#N/A</v>
      </c>
      <c r="E134" s="64" t="e">
        <f>MIN($B134*'Tiebreaker Calculation'!E$122,E$121)*'Tiebreaker Calculation'!E48</f>
        <v>#N/A</v>
      </c>
      <c r="F134" s="64" t="e">
        <f>MIN($B134*'Tiebreaker Calculation'!F$122,F$121)*'Tiebreaker Calculation'!F48</f>
        <v>#N/A</v>
      </c>
      <c r="G134" s="64" t="e">
        <f>MIN($B134*'Tiebreaker Calculation'!G$122,G$121)*'Tiebreaker Calculation'!G48</f>
        <v>#N/A</v>
      </c>
      <c r="H134" s="65" t="e">
        <f>MIN($B134*'Tiebreaker Calculation'!H$122,H$121)*'Tiebreaker Calculation'!H48</f>
        <v>#N/A</v>
      </c>
      <c r="J134" s="33"/>
      <c r="K134" s="33"/>
      <c r="L134" s="33"/>
      <c r="M134" s="33"/>
      <c r="N134" s="33"/>
      <c r="P134" s="32"/>
      <c r="Q134" s="32"/>
      <c r="R134" s="32"/>
      <c r="S134" s="32"/>
      <c r="T134" s="32"/>
    </row>
    <row r="135" spans="2:20">
      <c r="B135" s="61">
        <f>IF('Tiebreaker Calculation'!$C$64&lt;=30%,30%,'Tiebreaker Calculation'!B49)</f>
        <v>0.3</v>
      </c>
      <c r="C135" s="64" t="e">
        <f>MIN($B135*'Tiebreaker Calculation'!C$122,C$121)*'Tiebreaker Calculation'!C49</f>
        <v>#N/A</v>
      </c>
      <c r="D135" s="64" t="e">
        <f>MIN($B135*'Tiebreaker Calculation'!D$122,D$121)*'Tiebreaker Calculation'!D49</f>
        <v>#N/A</v>
      </c>
      <c r="E135" s="64" t="e">
        <f>MIN($B135*'Tiebreaker Calculation'!E$122,E$121)*'Tiebreaker Calculation'!E49</f>
        <v>#N/A</v>
      </c>
      <c r="F135" s="64" t="e">
        <f>MIN($B135*'Tiebreaker Calculation'!F$122,F$121)*'Tiebreaker Calculation'!F49</f>
        <v>#N/A</v>
      </c>
      <c r="G135" s="64" t="e">
        <f>MIN($B135*'Tiebreaker Calculation'!G$122,G$121)*'Tiebreaker Calculation'!G49</f>
        <v>#N/A</v>
      </c>
      <c r="H135" s="65" t="e">
        <f>MIN($B135*'Tiebreaker Calculation'!H$122,H$121)*'Tiebreaker Calculation'!H49</f>
        <v>#N/A</v>
      </c>
      <c r="J135" s="33"/>
      <c r="K135" s="33"/>
      <c r="L135" s="33"/>
      <c r="M135" s="33"/>
      <c r="N135" s="33"/>
      <c r="P135" s="32"/>
      <c r="Q135" s="32"/>
      <c r="R135" s="32"/>
      <c r="S135" s="32"/>
      <c r="T135" s="32"/>
    </row>
    <row r="136" spans="2:20">
      <c r="B136" s="61">
        <f>IF('Tiebreaker Calculation'!$C$64&lt;=30%,30%,'Tiebreaker Calculation'!B50)</f>
        <v>0.3</v>
      </c>
      <c r="C136" s="64" t="e">
        <f>MIN($B136*'Tiebreaker Calculation'!C$122,C$121)*'Tiebreaker Calculation'!C50</f>
        <v>#N/A</v>
      </c>
      <c r="D136" s="64" t="e">
        <f>MIN($B136*'Tiebreaker Calculation'!D$122,D$121)*'Tiebreaker Calculation'!D50</f>
        <v>#N/A</v>
      </c>
      <c r="E136" s="64" t="e">
        <f>MIN($B136*'Tiebreaker Calculation'!E$122,E$121)*'Tiebreaker Calculation'!E50</f>
        <v>#N/A</v>
      </c>
      <c r="F136" s="64" t="e">
        <f>MIN($B136*'Tiebreaker Calculation'!F$122,F$121)*'Tiebreaker Calculation'!F50</f>
        <v>#N/A</v>
      </c>
      <c r="G136" s="64" t="e">
        <f>MIN($B136*'Tiebreaker Calculation'!G$122,G$121)*'Tiebreaker Calculation'!G50</f>
        <v>#N/A</v>
      </c>
      <c r="H136" s="65" t="e">
        <f>MIN($B136*'Tiebreaker Calculation'!H$122,H$121)*'Tiebreaker Calculation'!H50</f>
        <v>#N/A</v>
      </c>
      <c r="J136" s="33"/>
      <c r="K136" s="33"/>
      <c r="L136" s="33"/>
      <c r="M136" s="33"/>
      <c r="N136" s="33"/>
      <c r="P136" s="32"/>
      <c r="Q136" s="32"/>
      <c r="R136" s="32"/>
      <c r="S136" s="32"/>
      <c r="T136" s="32"/>
    </row>
    <row r="137" spans="2:20">
      <c r="B137" s="61">
        <f>IF('Tiebreaker Calculation'!$C$64&lt;=30%,30%,'Tiebreaker Calculation'!B51)</f>
        <v>0.3</v>
      </c>
      <c r="C137" s="64" t="e">
        <f>MIN($B137*'Tiebreaker Calculation'!C$122,C$121)*'Tiebreaker Calculation'!C51</f>
        <v>#N/A</v>
      </c>
      <c r="D137" s="64" t="e">
        <f>MIN($B137*'Tiebreaker Calculation'!D$122,D$121)*'Tiebreaker Calculation'!D51</f>
        <v>#N/A</v>
      </c>
      <c r="E137" s="64" t="e">
        <f>MIN($B137*'Tiebreaker Calculation'!E$122,E$121)*'Tiebreaker Calculation'!E51</f>
        <v>#N/A</v>
      </c>
      <c r="F137" s="64" t="e">
        <f>MIN($B137*'Tiebreaker Calculation'!F$122,F$121)*'Tiebreaker Calculation'!F51</f>
        <v>#N/A</v>
      </c>
      <c r="G137" s="64" t="e">
        <f>MIN($B137*'Tiebreaker Calculation'!G$122,G$121)*'Tiebreaker Calculation'!G51</f>
        <v>#N/A</v>
      </c>
      <c r="H137" s="65" t="e">
        <f>MIN($B137*'Tiebreaker Calculation'!H$122,H$121)*'Tiebreaker Calculation'!H51</f>
        <v>#N/A</v>
      </c>
    </row>
    <row r="138" spans="2:20">
      <c r="B138" s="61">
        <f>IF('Tiebreaker Calculation'!$C$64&lt;=30%,30%,'Tiebreaker Calculation'!B52)</f>
        <v>0.3</v>
      </c>
      <c r="C138" s="64" t="e">
        <f>MIN($B138*'Tiebreaker Calculation'!C$122,C$121)*'Tiebreaker Calculation'!C52</f>
        <v>#N/A</v>
      </c>
      <c r="D138" s="64" t="e">
        <f>MIN($B138*'Tiebreaker Calculation'!D$122,D$121)*'Tiebreaker Calculation'!D52</f>
        <v>#N/A</v>
      </c>
      <c r="E138" s="64" t="e">
        <f>MIN($B138*'Tiebreaker Calculation'!E$122,E$121)*'Tiebreaker Calculation'!E52</f>
        <v>#N/A</v>
      </c>
      <c r="F138" s="64" t="e">
        <f>MIN($B138*'Tiebreaker Calculation'!F$122,F$121)*'Tiebreaker Calculation'!F52</f>
        <v>#N/A</v>
      </c>
      <c r="G138" s="64" t="e">
        <f>MIN($B138*'Tiebreaker Calculation'!G$122,G$121)*'Tiebreaker Calculation'!G52</f>
        <v>#N/A</v>
      </c>
      <c r="H138" s="65" t="e">
        <f>MIN($B138*'Tiebreaker Calculation'!H$122,H$121)*'Tiebreaker Calculation'!H52</f>
        <v>#N/A</v>
      </c>
    </row>
    <row r="139" spans="2:20">
      <c r="B139" s="61">
        <f>IF('Tiebreaker Calculation'!$C$64&lt;=30%,30%,'Tiebreaker Calculation'!B53)</f>
        <v>0.3</v>
      </c>
      <c r="C139" s="64" t="e">
        <f>MIN($B139*'Tiebreaker Calculation'!C$122,C$121)*'Tiebreaker Calculation'!C53</f>
        <v>#N/A</v>
      </c>
      <c r="D139" s="64" t="e">
        <f>MIN($B139*'Tiebreaker Calculation'!D$122,D$121)*'Tiebreaker Calculation'!D53</f>
        <v>#N/A</v>
      </c>
      <c r="E139" s="64" t="e">
        <f>MIN($B139*'Tiebreaker Calculation'!E$122,E$121)*'Tiebreaker Calculation'!E53</f>
        <v>#N/A</v>
      </c>
      <c r="F139" s="64" t="e">
        <f>MIN($B139*'Tiebreaker Calculation'!F$122,F$121)*'Tiebreaker Calculation'!F53</f>
        <v>#N/A</v>
      </c>
      <c r="G139" s="64" t="e">
        <f>MIN($B139*'Tiebreaker Calculation'!G$122,G$121)*'Tiebreaker Calculation'!G53</f>
        <v>#N/A</v>
      </c>
      <c r="H139" s="65" t="e">
        <f>MIN($B139*'Tiebreaker Calculation'!H$122,H$121)*'Tiebreaker Calculation'!H53</f>
        <v>#N/A</v>
      </c>
    </row>
    <row r="140" spans="2:20">
      <c r="B140" s="61">
        <f>IF('Tiebreaker Calculation'!$C$64&lt;=30%,30%,'Tiebreaker Calculation'!B54)</f>
        <v>0.3</v>
      </c>
      <c r="C140" s="64" t="e">
        <f>MIN($B140*'Tiebreaker Calculation'!C$122,C$121)*'Tiebreaker Calculation'!C54</f>
        <v>#N/A</v>
      </c>
      <c r="D140" s="64" t="e">
        <f>MIN($B140*'Tiebreaker Calculation'!D$122,D$121)*'Tiebreaker Calculation'!D54</f>
        <v>#N/A</v>
      </c>
      <c r="E140" s="64" t="e">
        <f>MIN($B140*'Tiebreaker Calculation'!E$122,E$121)*'Tiebreaker Calculation'!E54</f>
        <v>#N/A</v>
      </c>
      <c r="F140" s="64" t="e">
        <f>MIN($B140*'Tiebreaker Calculation'!F$122,F$121)*'Tiebreaker Calculation'!F54</f>
        <v>#N/A</v>
      </c>
      <c r="G140" s="64" t="e">
        <f>MIN($B140*'Tiebreaker Calculation'!G$122,G$121)*'Tiebreaker Calculation'!G54</f>
        <v>#N/A</v>
      </c>
      <c r="H140" s="65" t="e">
        <f>MIN($B140*'Tiebreaker Calculation'!H$122,H$121)*'Tiebreaker Calculation'!H54</f>
        <v>#N/A</v>
      </c>
    </row>
    <row r="141" spans="2:20">
      <c r="B141" s="61">
        <f>IF('Tiebreaker Calculation'!$C$64&lt;=30%,30%,'Tiebreaker Calculation'!B55)</f>
        <v>0.3</v>
      </c>
      <c r="C141" s="64" t="e">
        <f>MIN($B141*'Tiebreaker Calculation'!C$122,C$121)*'Tiebreaker Calculation'!C55</f>
        <v>#N/A</v>
      </c>
      <c r="D141" s="64" t="e">
        <f>MIN($B141*'Tiebreaker Calculation'!D$122,D$121)*'Tiebreaker Calculation'!D55</f>
        <v>#N/A</v>
      </c>
      <c r="E141" s="64" t="e">
        <f>MIN($B141*'Tiebreaker Calculation'!E$122,E$121)*'Tiebreaker Calculation'!E55</f>
        <v>#N/A</v>
      </c>
      <c r="F141" s="64" t="e">
        <f>MIN($B141*'Tiebreaker Calculation'!F$122,F$121)*'Tiebreaker Calculation'!F55</f>
        <v>#N/A</v>
      </c>
      <c r="G141" s="64" t="e">
        <f>MIN($B141*'Tiebreaker Calculation'!G$122,G$121)*'Tiebreaker Calculation'!G55</f>
        <v>#N/A</v>
      </c>
      <c r="H141" s="65" t="e">
        <f>MIN($B141*'Tiebreaker Calculation'!H$122,H$121)*'Tiebreaker Calculation'!H55</f>
        <v>#N/A</v>
      </c>
    </row>
    <row r="142" spans="2:20">
      <c r="B142" s="61">
        <f>IF('Tiebreaker Calculation'!$C$64&lt;=30%,30%,'Tiebreaker Calculation'!B56)</f>
        <v>0.3</v>
      </c>
      <c r="C142" s="64" t="e">
        <f>MIN($B142*'Tiebreaker Calculation'!C$122,C$121)*'Tiebreaker Calculation'!C56</f>
        <v>#N/A</v>
      </c>
      <c r="D142" s="64" t="e">
        <f>MIN($B142*'Tiebreaker Calculation'!D$122,D$121)*'Tiebreaker Calculation'!D56</f>
        <v>#N/A</v>
      </c>
      <c r="E142" s="64" t="e">
        <f>MIN($B142*'Tiebreaker Calculation'!E$122,E$121)*'Tiebreaker Calculation'!E56</f>
        <v>#N/A</v>
      </c>
      <c r="F142" s="64" t="e">
        <f>MIN($B142*'Tiebreaker Calculation'!F$122,F$121)*'Tiebreaker Calculation'!F56</f>
        <v>#N/A</v>
      </c>
      <c r="G142" s="64" t="e">
        <f>MIN($B142*'Tiebreaker Calculation'!G$122,G$121)*'Tiebreaker Calculation'!G56</f>
        <v>#N/A</v>
      </c>
      <c r="H142" s="65" t="e">
        <f>MIN($B142*'Tiebreaker Calculation'!H$122,H$121)*'Tiebreaker Calculation'!H56</f>
        <v>#N/A</v>
      </c>
    </row>
    <row r="143" spans="2:20">
      <c r="B143" s="61">
        <f>IF('Tiebreaker Calculation'!$C$64&lt;=30%,30%,'Tiebreaker Calculation'!B57)</f>
        <v>0.3</v>
      </c>
      <c r="C143" s="64" t="e">
        <f>MIN($B143*'Tiebreaker Calculation'!C$122,C$121)*'Tiebreaker Calculation'!C57</f>
        <v>#N/A</v>
      </c>
      <c r="D143" s="64" t="e">
        <f>MIN($B143*'Tiebreaker Calculation'!D$122,D$121)*'Tiebreaker Calculation'!D57</f>
        <v>#N/A</v>
      </c>
      <c r="E143" s="64" t="e">
        <f>MIN($B143*'Tiebreaker Calculation'!E$122,E$121)*'Tiebreaker Calculation'!E57</f>
        <v>#N/A</v>
      </c>
      <c r="F143" s="64" t="e">
        <f>MIN($B143*'Tiebreaker Calculation'!F$122,F$121)*'Tiebreaker Calculation'!F57</f>
        <v>#N/A</v>
      </c>
      <c r="G143" s="64" t="e">
        <f>MIN($B143*'Tiebreaker Calculation'!G$122,G$121)*'Tiebreaker Calculation'!G57</f>
        <v>#N/A</v>
      </c>
      <c r="H143" s="65" t="e">
        <f>MIN($B143*'Tiebreaker Calculation'!H$122,H$121)*'Tiebreaker Calculation'!H57</f>
        <v>#N/A</v>
      </c>
    </row>
    <row r="144" spans="2:20">
      <c r="B144" s="61">
        <f>IF('Tiebreaker Calculation'!$C$64&lt;=30%,30%,'Tiebreaker Calculation'!B58)</f>
        <v>0.3</v>
      </c>
      <c r="C144" s="64" t="e">
        <f>MIN($B144*'Tiebreaker Calculation'!C$122,C$121)*'Tiebreaker Calculation'!C58</f>
        <v>#N/A</v>
      </c>
      <c r="D144" s="64" t="e">
        <f>MIN($B144*'Tiebreaker Calculation'!D$122,D$121)*'Tiebreaker Calculation'!D58</f>
        <v>#N/A</v>
      </c>
      <c r="E144" s="64" t="e">
        <f>MIN($B144*'Tiebreaker Calculation'!E$122,E$121)*'Tiebreaker Calculation'!E58</f>
        <v>#N/A</v>
      </c>
      <c r="F144" s="64" t="e">
        <f>MIN($B144*'Tiebreaker Calculation'!F$122,F$121)*'Tiebreaker Calculation'!F58</f>
        <v>#N/A</v>
      </c>
      <c r="G144" s="64" t="e">
        <f>MIN($B144*'Tiebreaker Calculation'!G$122,G$121)*'Tiebreaker Calculation'!G58</f>
        <v>#N/A</v>
      </c>
      <c r="H144" s="65" t="e">
        <f>MIN($B144*'Tiebreaker Calculation'!H$122,H$121)*'Tiebreaker Calculation'!H58</f>
        <v>#N/A</v>
      </c>
    </row>
    <row r="145" spans="2:21">
      <c r="B145" s="61">
        <f>IF('Tiebreaker Calculation'!$C$64&lt;=30%,30%,'Tiebreaker Calculation'!B59)</f>
        <v>0.3</v>
      </c>
      <c r="C145" s="64" t="e">
        <f>MIN($B145*'Tiebreaker Calculation'!C$122,C$121)*'Tiebreaker Calculation'!C59</f>
        <v>#N/A</v>
      </c>
      <c r="D145" s="64" t="e">
        <f>MIN($B145*'Tiebreaker Calculation'!D$122,D$121)*'Tiebreaker Calculation'!D59</f>
        <v>#N/A</v>
      </c>
      <c r="E145" s="64" t="e">
        <f>MIN($B145*'Tiebreaker Calculation'!E$122,E$121)*'Tiebreaker Calculation'!E59</f>
        <v>#N/A</v>
      </c>
      <c r="F145" s="64" t="e">
        <f>MIN($B145*'Tiebreaker Calculation'!F$122,F$121)*'Tiebreaker Calculation'!F59</f>
        <v>#N/A</v>
      </c>
      <c r="G145" s="64" t="e">
        <f>MIN($B145*'Tiebreaker Calculation'!G$122,G$121)*'Tiebreaker Calculation'!G59</f>
        <v>#N/A</v>
      </c>
      <c r="H145" s="65" t="e">
        <f>MIN($B145*'Tiebreaker Calculation'!H$122,H$121)*'Tiebreaker Calculation'!H59</f>
        <v>#N/A</v>
      </c>
    </row>
    <row r="146" spans="2:21">
      <c r="B146" s="61">
        <f>IF('Tiebreaker Calculation'!$C$64&lt;=30%,30%,'Tiebreaker Calculation'!B60)</f>
        <v>0.3</v>
      </c>
      <c r="C146" s="64" t="e">
        <f>MIN($B146*'Tiebreaker Calculation'!C$122,C$121)*'Tiebreaker Calculation'!C60</f>
        <v>#N/A</v>
      </c>
      <c r="D146" s="64" t="e">
        <f>MIN($B146*'Tiebreaker Calculation'!D$122,D$121)*'Tiebreaker Calculation'!D60</f>
        <v>#N/A</v>
      </c>
      <c r="E146" s="64" t="e">
        <f>MIN($B146*'Tiebreaker Calculation'!E$122,E$121)*'Tiebreaker Calculation'!E60</f>
        <v>#N/A</v>
      </c>
      <c r="F146" s="64" t="e">
        <f>MIN($B146*'Tiebreaker Calculation'!F$122,F$121)*'Tiebreaker Calculation'!F60</f>
        <v>#N/A</v>
      </c>
      <c r="G146" s="64" t="e">
        <f>MIN($B146*'Tiebreaker Calculation'!G$122,G$121)*'Tiebreaker Calculation'!G60</f>
        <v>#N/A</v>
      </c>
      <c r="H146" s="65" t="e">
        <f>MIN($B146*'Tiebreaker Calculation'!H$122,H$121)*'Tiebreaker Calculation'!H60</f>
        <v>#N/A</v>
      </c>
    </row>
    <row r="147" spans="2:21">
      <c r="B147" s="61">
        <f>IF('Tiebreaker Calculation'!$C$64&lt;=30%,30%,'Tiebreaker Calculation'!B61)</f>
        <v>0.3</v>
      </c>
      <c r="C147" s="64" t="e">
        <f>MIN($B147*'Tiebreaker Calculation'!C$122,C$121)*'Tiebreaker Calculation'!C61</f>
        <v>#N/A</v>
      </c>
      <c r="D147" s="64" t="e">
        <f>MIN($B147*'Tiebreaker Calculation'!D$122,D$121)*'Tiebreaker Calculation'!D61</f>
        <v>#N/A</v>
      </c>
      <c r="E147" s="64" t="e">
        <f>MIN($B147*'Tiebreaker Calculation'!E$122,E$121)*'Tiebreaker Calculation'!E61</f>
        <v>#N/A</v>
      </c>
      <c r="F147" s="64" t="e">
        <f>MIN($B147*'Tiebreaker Calculation'!F$122,F$121)*'Tiebreaker Calculation'!F61</f>
        <v>#N/A</v>
      </c>
      <c r="G147" s="64" t="e">
        <f>MIN($B147*'Tiebreaker Calculation'!G$122,G$121)*'Tiebreaker Calculation'!G61</f>
        <v>#N/A</v>
      </c>
      <c r="H147" s="65" t="e">
        <f>MIN($B147*'Tiebreaker Calculation'!H$122,H$121)*'Tiebreaker Calculation'!H61</f>
        <v>#N/A</v>
      </c>
    </row>
    <row r="148" spans="2:21">
      <c r="B148" s="66" t="s">
        <v>164</v>
      </c>
      <c r="C148" s="99" t="e">
        <f t="shared" ref="C148:H148" si="5">SUM(C133:C147)</f>
        <v>#N/A</v>
      </c>
      <c r="D148" s="99" t="e">
        <f t="shared" si="5"/>
        <v>#N/A</v>
      </c>
      <c r="E148" s="99" t="e">
        <f t="shared" si="5"/>
        <v>#N/A</v>
      </c>
      <c r="F148" s="99" t="e">
        <f t="shared" si="5"/>
        <v>#N/A</v>
      </c>
      <c r="G148" s="99" t="e">
        <f t="shared" si="5"/>
        <v>#N/A</v>
      </c>
      <c r="H148" s="100" t="e">
        <f t="shared" si="5"/>
        <v>#N/A</v>
      </c>
    </row>
    <row r="149" spans="2:21" ht="16.3" thickBot="1">
      <c r="B149" s="62"/>
      <c r="C149" s="30"/>
      <c r="D149" s="30"/>
      <c r="E149" s="30"/>
      <c r="F149" s="30"/>
      <c r="G149" s="30"/>
      <c r="H149" s="31"/>
    </row>
    <row r="150" spans="2:21" ht="16.3" thickBot="1"/>
    <row r="151" spans="2:21">
      <c r="B151" s="70" t="s">
        <v>219</v>
      </c>
      <c r="C151" s="63" t="s">
        <v>158</v>
      </c>
      <c r="D151" s="63" t="s">
        <v>159</v>
      </c>
      <c r="E151" s="63" t="s">
        <v>160</v>
      </c>
      <c r="F151" s="63" t="s">
        <v>161</v>
      </c>
      <c r="G151" s="63" t="s">
        <v>162</v>
      </c>
      <c r="H151" s="58" t="s">
        <v>163</v>
      </c>
    </row>
    <row r="152" spans="2:21">
      <c r="B152" s="61">
        <f t="shared" ref="B152:B166" si="6">B47</f>
        <v>0.3</v>
      </c>
      <c r="C152" s="64" t="e">
        <f t="shared" ref="C152:C166" si="7">MIN(C$121,L47)*C47</f>
        <v>#N/A</v>
      </c>
      <c r="D152" s="64" t="e">
        <f t="shared" ref="D152:D166" si="8">MIN(D$121,M47)*D47</f>
        <v>#N/A</v>
      </c>
      <c r="E152" s="64" t="e">
        <f t="shared" ref="E152:E166" si="9">MIN(E$121,N47)*E47</f>
        <v>#N/A</v>
      </c>
      <c r="F152" s="64" t="e">
        <f t="shared" ref="F152:F166" si="10">MIN(F$121,O47)*F47</f>
        <v>#N/A</v>
      </c>
      <c r="G152" s="64" t="e">
        <f t="shared" ref="G152:G166" si="11">MIN(G$121,P47)*G47</f>
        <v>#N/A</v>
      </c>
      <c r="H152" s="65" t="e">
        <f t="shared" ref="H152:H166" si="12">MIN(H$121,Q47)*H47</f>
        <v>#N/A</v>
      </c>
      <c r="I152" s="32"/>
      <c r="K152" s="33"/>
      <c r="L152" s="33"/>
      <c r="M152" s="33"/>
      <c r="N152" s="33"/>
      <c r="O152" s="33"/>
      <c r="Q152" s="32"/>
      <c r="R152" s="32"/>
      <c r="S152" s="32"/>
      <c r="T152" s="32"/>
      <c r="U152" s="32"/>
    </row>
    <row r="153" spans="2:21">
      <c r="B153" s="61">
        <f t="shared" si="6"/>
        <v>0.4</v>
      </c>
      <c r="C153" s="64" t="e">
        <f t="shared" si="7"/>
        <v>#N/A</v>
      </c>
      <c r="D153" s="64" t="e">
        <f t="shared" si="8"/>
        <v>#N/A</v>
      </c>
      <c r="E153" s="64" t="e">
        <f t="shared" si="9"/>
        <v>#N/A</v>
      </c>
      <c r="F153" s="64" t="e">
        <f t="shared" si="10"/>
        <v>#N/A</v>
      </c>
      <c r="G153" s="64" t="e">
        <f t="shared" si="11"/>
        <v>#N/A</v>
      </c>
      <c r="H153" s="65" t="e">
        <f t="shared" si="12"/>
        <v>#N/A</v>
      </c>
      <c r="I153" s="32"/>
      <c r="K153" s="33"/>
      <c r="L153" s="33"/>
      <c r="M153" s="33"/>
      <c r="N153" s="33"/>
      <c r="O153" s="33"/>
      <c r="Q153" s="32"/>
      <c r="R153" s="32"/>
      <c r="S153" s="32"/>
      <c r="T153" s="32"/>
      <c r="U153" s="32"/>
    </row>
    <row r="154" spans="2:21">
      <c r="B154" s="61">
        <f t="shared" si="6"/>
        <v>0.45</v>
      </c>
      <c r="C154" s="64" t="e">
        <f t="shared" si="7"/>
        <v>#N/A</v>
      </c>
      <c r="D154" s="64" t="e">
        <f t="shared" si="8"/>
        <v>#N/A</v>
      </c>
      <c r="E154" s="64" t="e">
        <f t="shared" si="9"/>
        <v>#N/A</v>
      </c>
      <c r="F154" s="64" t="e">
        <f t="shared" si="10"/>
        <v>#N/A</v>
      </c>
      <c r="G154" s="64" t="e">
        <f t="shared" si="11"/>
        <v>#N/A</v>
      </c>
      <c r="H154" s="65" t="e">
        <f t="shared" si="12"/>
        <v>#N/A</v>
      </c>
      <c r="I154" s="32"/>
      <c r="K154" s="33"/>
      <c r="L154" s="33"/>
      <c r="M154" s="33"/>
      <c r="N154" s="33"/>
      <c r="O154" s="33"/>
      <c r="Q154" s="32"/>
      <c r="R154" s="32"/>
      <c r="S154" s="32"/>
      <c r="T154" s="32"/>
      <c r="U154" s="32"/>
    </row>
    <row r="155" spans="2:21">
      <c r="B155" s="61">
        <f t="shared" si="6"/>
        <v>0.5</v>
      </c>
      <c r="C155" s="64" t="e">
        <f t="shared" si="7"/>
        <v>#N/A</v>
      </c>
      <c r="D155" s="64" t="e">
        <f t="shared" si="8"/>
        <v>#N/A</v>
      </c>
      <c r="E155" s="64" t="e">
        <f t="shared" si="9"/>
        <v>#N/A</v>
      </c>
      <c r="F155" s="64" t="e">
        <f t="shared" si="10"/>
        <v>#N/A</v>
      </c>
      <c r="G155" s="64" t="e">
        <f t="shared" si="11"/>
        <v>#N/A</v>
      </c>
      <c r="H155" s="65" t="e">
        <f t="shared" si="12"/>
        <v>#N/A</v>
      </c>
      <c r="I155" s="32"/>
      <c r="K155" s="33"/>
      <c r="L155" s="33"/>
      <c r="M155" s="33"/>
      <c r="N155" s="33"/>
      <c r="O155" s="33"/>
      <c r="Q155" s="32"/>
      <c r="R155" s="32"/>
      <c r="S155" s="32"/>
      <c r="T155" s="32"/>
      <c r="U155" s="32"/>
    </row>
    <row r="156" spans="2:21">
      <c r="B156" s="61">
        <f t="shared" si="6"/>
        <v>0.3</v>
      </c>
      <c r="C156" s="64" t="e">
        <f t="shared" si="7"/>
        <v>#N/A</v>
      </c>
      <c r="D156" s="64" t="e">
        <f t="shared" si="8"/>
        <v>#N/A</v>
      </c>
      <c r="E156" s="64" t="e">
        <f t="shared" si="9"/>
        <v>#N/A</v>
      </c>
      <c r="F156" s="64" t="e">
        <f t="shared" si="10"/>
        <v>#N/A</v>
      </c>
      <c r="G156" s="64" t="e">
        <f t="shared" si="11"/>
        <v>#N/A</v>
      </c>
      <c r="H156" s="65" t="e">
        <f t="shared" si="12"/>
        <v>#N/A</v>
      </c>
      <c r="I156" s="32"/>
    </row>
    <row r="157" spans="2:21">
      <c r="B157" s="61">
        <f t="shared" si="6"/>
        <v>0.4</v>
      </c>
      <c r="C157" s="64" t="e">
        <f t="shared" si="7"/>
        <v>#N/A</v>
      </c>
      <c r="D157" s="64" t="e">
        <f t="shared" si="8"/>
        <v>#N/A</v>
      </c>
      <c r="E157" s="64" t="e">
        <f t="shared" si="9"/>
        <v>#N/A</v>
      </c>
      <c r="F157" s="64" t="e">
        <f t="shared" si="10"/>
        <v>#N/A</v>
      </c>
      <c r="G157" s="64" t="e">
        <f t="shared" si="11"/>
        <v>#N/A</v>
      </c>
      <c r="H157" s="65" t="e">
        <f t="shared" si="12"/>
        <v>#N/A</v>
      </c>
      <c r="I157" s="32"/>
    </row>
    <row r="158" spans="2:21">
      <c r="B158" s="61">
        <f t="shared" si="6"/>
        <v>0.4</v>
      </c>
      <c r="C158" s="64" t="e">
        <f t="shared" si="7"/>
        <v>#N/A</v>
      </c>
      <c r="D158" s="64" t="e">
        <f t="shared" si="8"/>
        <v>#N/A</v>
      </c>
      <c r="E158" s="64" t="e">
        <f t="shared" si="9"/>
        <v>#N/A</v>
      </c>
      <c r="F158" s="64" t="e">
        <f t="shared" si="10"/>
        <v>#N/A</v>
      </c>
      <c r="G158" s="64" t="e">
        <f t="shared" si="11"/>
        <v>#N/A</v>
      </c>
      <c r="H158" s="65" t="e">
        <f t="shared" si="12"/>
        <v>#N/A</v>
      </c>
      <c r="I158" s="32"/>
    </row>
    <row r="159" spans="2:21">
      <c r="B159" s="61">
        <f t="shared" si="6"/>
        <v>0.45</v>
      </c>
      <c r="C159" s="64" t="e">
        <f t="shared" si="7"/>
        <v>#N/A</v>
      </c>
      <c r="D159" s="64" t="e">
        <f t="shared" si="8"/>
        <v>#N/A</v>
      </c>
      <c r="E159" s="64" t="e">
        <f t="shared" si="9"/>
        <v>#N/A</v>
      </c>
      <c r="F159" s="64" t="e">
        <f t="shared" si="10"/>
        <v>#N/A</v>
      </c>
      <c r="G159" s="64" t="e">
        <f t="shared" si="11"/>
        <v>#N/A</v>
      </c>
      <c r="H159" s="65" t="e">
        <f t="shared" si="12"/>
        <v>#N/A</v>
      </c>
      <c r="I159" s="32"/>
    </row>
    <row r="160" spans="2:21">
      <c r="B160" s="61">
        <f t="shared" si="6"/>
        <v>0.45</v>
      </c>
      <c r="C160" s="64" t="e">
        <f t="shared" si="7"/>
        <v>#N/A</v>
      </c>
      <c r="D160" s="64" t="e">
        <f t="shared" si="8"/>
        <v>#N/A</v>
      </c>
      <c r="E160" s="64" t="e">
        <f t="shared" si="9"/>
        <v>#N/A</v>
      </c>
      <c r="F160" s="64" t="e">
        <f t="shared" si="10"/>
        <v>#N/A</v>
      </c>
      <c r="G160" s="64" t="e">
        <f t="shared" si="11"/>
        <v>#N/A</v>
      </c>
      <c r="H160" s="65" t="e">
        <f t="shared" si="12"/>
        <v>#N/A</v>
      </c>
      <c r="I160" s="32"/>
    </row>
    <row r="161" spans="2:23">
      <c r="B161" s="61">
        <f t="shared" si="6"/>
        <v>0.5</v>
      </c>
      <c r="C161" s="64" t="e">
        <f t="shared" si="7"/>
        <v>#N/A</v>
      </c>
      <c r="D161" s="64" t="e">
        <f t="shared" si="8"/>
        <v>#N/A</v>
      </c>
      <c r="E161" s="64" t="e">
        <f t="shared" si="9"/>
        <v>#N/A</v>
      </c>
      <c r="F161" s="64" t="e">
        <f t="shared" si="10"/>
        <v>#N/A</v>
      </c>
      <c r="G161" s="64" t="e">
        <f t="shared" si="11"/>
        <v>#N/A</v>
      </c>
      <c r="H161" s="65" t="e">
        <f t="shared" si="12"/>
        <v>#N/A</v>
      </c>
      <c r="I161" s="32"/>
    </row>
    <row r="162" spans="2:23">
      <c r="B162" s="61">
        <f t="shared" si="6"/>
        <v>0.5</v>
      </c>
      <c r="C162" s="64" t="e">
        <f t="shared" si="7"/>
        <v>#N/A</v>
      </c>
      <c r="D162" s="64" t="e">
        <f t="shared" si="8"/>
        <v>#N/A</v>
      </c>
      <c r="E162" s="64" t="e">
        <f t="shared" si="9"/>
        <v>#N/A</v>
      </c>
      <c r="F162" s="64" t="e">
        <f t="shared" si="10"/>
        <v>#N/A</v>
      </c>
      <c r="G162" s="64" t="e">
        <f t="shared" si="11"/>
        <v>#N/A</v>
      </c>
      <c r="H162" s="65" t="e">
        <f t="shared" si="12"/>
        <v>#N/A</v>
      </c>
      <c r="I162" s="32"/>
    </row>
    <row r="163" spans="2:23">
      <c r="B163" s="61">
        <f t="shared" si="6"/>
        <v>0.55000000000000004</v>
      </c>
      <c r="C163" s="64" t="e">
        <f t="shared" si="7"/>
        <v>#N/A</v>
      </c>
      <c r="D163" s="64" t="e">
        <f t="shared" si="8"/>
        <v>#N/A</v>
      </c>
      <c r="E163" s="64" t="e">
        <f t="shared" si="9"/>
        <v>#N/A</v>
      </c>
      <c r="F163" s="64" t="e">
        <f t="shared" si="10"/>
        <v>#N/A</v>
      </c>
      <c r="G163" s="64" t="e">
        <f t="shared" si="11"/>
        <v>#N/A</v>
      </c>
      <c r="H163" s="65" t="e">
        <f t="shared" si="12"/>
        <v>#N/A</v>
      </c>
      <c r="I163" s="32"/>
    </row>
    <row r="164" spans="2:23">
      <c r="B164" s="61">
        <f t="shared" si="6"/>
        <v>0.55000000000000004</v>
      </c>
      <c r="C164" s="64" t="e">
        <f t="shared" si="7"/>
        <v>#N/A</v>
      </c>
      <c r="D164" s="64" t="e">
        <f t="shared" si="8"/>
        <v>#N/A</v>
      </c>
      <c r="E164" s="64" t="e">
        <f t="shared" si="9"/>
        <v>#N/A</v>
      </c>
      <c r="F164" s="64" t="e">
        <f t="shared" si="10"/>
        <v>#N/A</v>
      </c>
      <c r="G164" s="64" t="e">
        <f t="shared" si="11"/>
        <v>#N/A</v>
      </c>
      <c r="H164" s="65" t="e">
        <f t="shared" si="12"/>
        <v>#N/A</v>
      </c>
      <c r="I164" s="32"/>
    </row>
    <row r="165" spans="2:23">
      <c r="B165" s="61">
        <f t="shared" si="6"/>
        <v>0.6</v>
      </c>
      <c r="C165" s="64" t="e">
        <f t="shared" si="7"/>
        <v>#N/A</v>
      </c>
      <c r="D165" s="64" t="e">
        <f t="shared" si="8"/>
        <v>#N/A</v>
      </c>
      <c r="E165" s="64" t="e">
        <f t="shared" si="9"/>
        <v>#N/A</v>
      </c>
      <c r="F165" s="64" t="e">
        <f t="shared" si="10"/>
        <v>#N/A</v>
      </c>
      <c r="G165" s="64" t="e">
        <f t="shared" si="11"/>
        <v>#N/A</v>
      </c>
      <c r="H165" s="65" t="e">
        <f t="shared" si="12"/>
        <v>#N/A</v>
      </c>
      <c r="I165" s="32"/>
    </row>
    <row r="166" spans="2:23">
      <c r="B166" s="61">
        <f t="shared" si="6"/>
        <v>0.6</v>
      </c>
      <c r="C166" s="64" t="e">
        <f t="shared" si="7"/>
        <v>#N/A</v>
      </c>
      <c r="D166" s="64" t="e">
        <f t="shared" si="8"/>
        <v>#N/A</v>
      </c>
      <c r="E166" s="64" t="e">
        <f t="shared" si="9"/>
        <v>#N/A</v>
      </c>
      <c r="F166" s="64" t="e">
        <f t="shared" si="10"/>
        <v>#N/A</v>
      </c>
      <c r="G166" s="64" t="e">
        <f t="shared" si="11"/>
        <v>#N/A</v>
      </c>
      <c r="H166" s="65" t="e">
        <f t="shared" si="12"/>
        <v>#N/A</v>
      </c>
      <c r="I166" s="32"/>
    </row>
    <row r="167" spans="2:23">
      <c r="B167" s="66" t="s">
        <v>164</v>
      </c>
      <c r="C167" s="98" t="e">
        <f>SUM(C152:C166)</f>
        <v>#N/A</v>
      </c>
      <c r="D167" s="99" t="e">
        <f>SUM(D152:D166)</f>
        <v>#N/A</v>
      </c>
      <c r="E167" s="99" t="e">
        <f t="shared" ref="E167:H167" si="13">SUM(E152:E166)</f>
        <v>#N/A</v>
      </c>
      <c r="F167" s="99" t="e">
        <f t="shared" si="13"/>
        <v>#N/A</v>
      </c>
      <c r="G167" s="99" t="e">
        <f t="shared" si="13"/>
        <v>#N/A</v>
      </c>
      <c r="H167" s="100" t="e">
        <f t="shared" si="13"/>
        <v>#N/A</v>
      </c>
      <c r="I167" s="240"/>
    </row>
    <row r="168" spans="2:23" ht="16.3" thickBot="1">
      <c r="B168" s="62"/>
      <c r="C168" s="30"/>
      <c r="D168" s="30"/>
      <c r="E168" s="30"/>
      <c r="F168" s="30"/>
      <c r="G168" s="30"/>
      <c r="H168" s="31"/>
    </row>
    <row r="169" spans="2:23" ht="16.3" thickBot="1"/>
    <row r="170" spans="2:23">
      <c r="B170" s="15"/>
      <c r="C170" s="16"/>
      <c r="D170" s="17" t="s">
        <v>220</v>
      </c>
      <c r="E170" s="17"/>
      <c r="F170" s="17"/>
      <c r="G170" s="17"/>
      <c r="H170" s="18"/>
      <c r="I170" s="18"/>
      <c r="J170" s="18"/>
      <c r="K170" s="18"/>
      <c r="L170" s="16"/>
      <c r="M170" s="16"/>
      <c r="N170" s="16"/>
      <c r="O170" s="16"/>
      <c r="P170" s="16"/>
      <c r="Q170" s="16"/>
      <c r="R170" s="16"/>
      <c r="S170" s="16"/>
      <c r="T170" s="16"/>
      <c r="U170" s="16"/>
      <c r="V170" s="16"/>
      <c r="W170" s="26"/>
    </row>
    <row r="171" spans="2:23">
      <c r="B171" s="19"/>
      <c r="C171" s="2"/>
      <c r="D171" s="2"/>
      <c r="E171" s="3"/>
      <c r="F171" s="2"/>
      <c r="G171" s="2"/>
      <c r="H171" s="14"/>
      <c r="I171" s="14"/>
      <c r="J171" s="14"/>
      <c r="K171" s="14"/>
      <c r="L171" s="14"/>
      <c r="M171" s="14"/>
      <c r="N171" s="14"/>
      <c r="O171" s="27"/>
      <c r="P171" s="28"/>
      <c r="Q171" s="20"/>
      <c r="R171" s="20"/>
      <c r="S171" s="20"/>
      <c r="T171" s="20"/>
      <c r="U171" s="20"/>
      <c r="V171" s="20"/>
      <c r="W171" s="29"/>
    </row>
    <row r="172" spans="2:23">
      <c r="B172" s="19" t="s">
        <v>221</v>
      </c>
      <c r="C172" s="2"/>
      <c r="D172" s="2"/>
      <c r="E172" s="4">
        <f>MEDIAN(E177:E234)</f>
        <v>560000</v>
      </c>
      <c r="F172" s="2"/>
      <c r="G172" s="2"/>
      <c r="H172" s="14"/>
      <c r="I172" s="14"/>
      <c r="J172" s="20"/>
      <c r="K172" s="20"/>
      <c r="L172" s="20"/>
      <c r="M172" s="20"/>
      <c r="N172" s="20"/>
      <c r="O172" s="20"/>
      <c r="P172" s="20"/>
      <c r="Q172" s="20"/>
      <c r="R172" s="20"/>
      <c r="S172" s="20"/>
      <c r="T172" s="20"/>
      <c r="U172" s="20"/>
      <c r="V172" s="20"/>
      <c r="W172" s="29"/>
    </row>
    <row r="173" spans="2:23">
      <c r="B173" s="19"/>
      <c r="C173" s="2"/>
      <c r="D173" s="2"/>
      <c r="E173" s="3"/>
      <c r="F173" s="2"/>
      <c r="G173" s="2"/>
      <c r="H173" s="14"/>
      <c r="I173" s="14"/>
      <c r="J173" s="20"/>
      <c r="K173" s="20"/>
      <c r="L173" s="20"/>
      <c r="M173" s="20"/>
      <c r="N173" s="20"/>
      <c r="O173" s="20"/>
      <c r="P173" s="20"/>
      <c r="Q173" s="20"/>
      <c r="R173" s="20"/>
      <c r="S173" s="20"/>
      <c r="T173" s="20"/>
      <c r="U173" s="20"/>
      <c r="V173" s="20"/>
      <c r="W173" s="29"/>
    </row>
    <row r="174" spans="2:23">
      <c r="B174" s="19"/>
      <c r="C174" s="2"/>
      <c r="D174" s="5" t="s">
        <v>222</v>
      </c>
      <c r="E174" s="6" t="s">
        <v>223</v>
      </c>
      <c r="F174" s="2"/>
      <c r="G174" s="2"/>
      <c r="H174" s="14"/>
      <c r="I174" s="14"/>
      <c r="J174" s="20"/>
      <c r="K174" s="20"/>
      <c r="L174" s="20"/>
      <c r="M174" s="20"/>
      <c r="N174" s="20"/>
      <c r="O174" s="20"/>
      <c r="P174" s="20"/>
      <c r="Q174" s="20"/>
      <c r="R174" s="20"/>
      <c r="S174" s="20"/>
      <c r="T174" s="20"/>
      <c r="U174" s="20"/>
      <c r="V174" s="20"/>
      <c r="W174" s="29"/>
    </row>
    <row r="175" spans="2:23">
      <c r="B175" s="19" t="s">
        <v>224</v>
      </c>
      <c r="C175" s="5"/>
      <c r="D175" s="5" t="s">
        <v>225</v>
      </c>
      <c r="E175" s="6" t="s">
        <v>226</v>
      </c>
      <c r="F175" s="2"/>
      <c r="G175" s="2"/>
      <c r="H175" s="14"/>
      <c r="I175" s="14"/>
      <c r="J175" s="20" t="s">
        <v>227</v>
      </c>
      <c r="K175" s="20"/>
      <c r="L175" s="20"/>
      <c r="M175" s="20"/>
      <c r="N175" s="20"/>
      <c r="O175" s="20"/>
      <c r="P175" s="20"/>
      <c r="Q175" s="20"/>
      <c r="R175" s="20"/>
      <c r="S175" s="20"/>
      <c r="T175" s="20"/>
      <c r="U175" s="20"/>
      <c r="V175" s="20"/>
      <c r="W175" s="29"/>
    </row>
    <row r="176" spans="2:23" ht="16.3" thickBot="1">
      <c r="B176" s="21" t="s">
        <v>111</v>
      </c>
      <c r="C176" s="13" t="s">
        <v>158</v>
      </c>
      <c r="D176" s="13" t="s">
        <v>159</v>
      </c>
      <c r="E176" s="13" t="s">
        <v>160</v>
      </c>
      <c r="F176" s="13" t="s">
        <v>161</v>
      </c>
      <c r="G176" s="13" t="s">
        <v>162</v>
      </c>
      <c r="H176" s="13" t="s">
        <v>228</v>
      </c>
      <c r="I176" s="14"/>
      <c r="J176" s="13" t="s">
        <v>111</v>
      </c>
      <c r="K176" s="13" t="s">
        <v>158</v>
      </c>
      <c r="L176" s="13" t="s">
        <v>159</v>
      </c>
      <c r="M176" s="13" t="s">
        <v>160</v>
      </c>
      <c r="N176" s="13" t="s">
        <v>161</v>
      </c>
      <c r="O176" s="13" t="s">
        <v>162</v>
      </c>
      <c r="P176" s="20"/>
      <c r="Q176" s="13" t="s">
        <v>229</v>
      </c>
      <c r="R176" s="13" t="s">
        <v>158</v>
      </c>
      <c r="S176" s="13" t="s">
        <v>159</v>
      </c>
      <c r="T176" s="13" t="s">
        <v>160</v>
      </c>
      <c r="U176" s="13" t="s">
        <v>161</v>
      </c>
      <c r="V176" s="13" t="s">
        <v>162</v>
      </c>
      <c r="W176" s="22" t="s">
        <v>163</v>
      </c>
    </row>
    <row r="177" spans="2:23">
      <c r="B177" s="19" t="s">
        <v>230</v>
      </c>
      <c r="C177" s="2">
        <v>491221</v>
      </c>
      <c r="D177" s="2">
        <v>566373</v>
      </c>
      <c r="E177" s="7">
        <v>683200</v>
      </c>
      <c r="F177" s="2">
        <v>874496</v>
      </c>
      <c r="G177" s="2">
        <v>974243</v>
      </c>
      <c r="H177" s="8">
        <f t="shared" ref="H177:H208" si="14">E177/$E$172-100%</f>
        <v>0.21999999999999997</v>
      </c>
      <c r="I177" s="14"/>
      <c r="J177" s="14" t="s">
        <v>230</v>
      </c>
      <c r="K177" s="14">
        <v>2142</v>
      </c>
      <c r="L177" s="14">
        <v>2385</v>
      </c>
      <c r="M177" s="14">
        <v>2912</v>
      </c>
      <c r="N177" s="14">
        <v>3724</v>
      </c>
      <c r="O177" s="14">
        <v>4413</v>
      </c>
      <c r="P177" s="20"/>
      <c r="Q177" s="14" t="s">
        <v>230</v>
      </c>
      <c r="R177" s="14">
        <v>2970</v>
      </c>
      <c r="S177" s="14">
        <v>3182</v>
      </c>
      <c r="T177" s="14">
        <v>3820</v>
      </c>
      <c r="U177" s="14">
        <v>4412</v>
      </c>
      <c r="V177" s="14">
        <v>4922</v>
      </c>
      <c r="W177" s="23">
        <v>5432</v>
      </c>
    </row>
    <row r="178" spans="2:23">
      <c r="B178" s="19" t="s">
        <v>231</v>
      </c>
      <c r="C178" s="2">
        <v>402640</v>
      </c>
      <c r="D178" s="2">
        <v>464240</v>
      </c>
      <c r="E178" s="9">
        <v>560000</v>
      </c>
      <c r="F178" s="2">
        <v>716800</v>
      </c>
      <c r="G178" s="2">
        <v>798560</v>
      </c>
      <c r="H178" s="10">
        <f t="shared" si="14"/>
        <v>0</v>
      </c>
      <c r="I178" s="14"/>
      <c r="J178" s="14" t="s">
        <v>231</v>
      </c>
      <c r="K178" s="14">
        <v>1068</v>
      </c>
      <c r="L178" s="14">
        <v>1165</v>
      </c>
      <c r="M178" s="14">
        <v>1529</v>
      </c>
      <c r="N178" s="14">
        <v>2126</v>
      </c>
      <c r="O178" s="14">
        <v>2527</v>
      </c>
      <c r="P178" s="20"/>
      <c r="Q178" s="14" t="s">
        <v>231</v>
      </c>
      <c r="R178" s="14">
        <v>2184</v>
      </c>
      <c r="S178" s="14">
        <v>2340</v>
      </c>
      <c r="T178" s="14">
        <v>2810</v>
      </c>
      <c r="U178" s="14">
        <v>3244</v>
      </c>
      <c r="V178" s="14">
        <v>3620</v>
      </c>
      <c r="W178" s="23">
        <v>3994</v>
      </c>
    </row>
    <row r="179" spans="2:23">
      <c r="B179" s="19" t="s">
        <v>232</v>
      </c>
      <c r="C179" s="2">
        <v>402640</v>
      </c>
      <c r="D179" s="2">
        <v>464240</v>
      </c>
      <c r="E179" s="9">
        <v>560000</v>
      </c>
      <c r="F179" s="2">
        <v>716800</v>
      </c>
      <c r="G179" s="2">
        <v>798560</v>
      </c>
      <c r="H179" s="10">
        <f t="shared" si="14"/>
        <v>0</v>
      </c>
      <c r="I179" s="14"/>
      <c r="J179" s="14" t="s">
        <v>232</v>
      </c>
      <c r="K179" s="14">
        <v>1387</v>
      </c>
      <c r="L179" s="14">
        <v>1396</v>
      </c>
      <c r="M179" s="14">
        <v>1698</v>
      </c>
      <c r="N179" s="14">
        <v>2220</v>
      </c>
      <c r="O179" s="14">
        <v>2714</v>
      </c>
      <c r="P179" s="20"/>
      <c r="Q179" s="14" t="s">
        <v>232</v>
      </c>
      <c r="R179" s="14">
        <v>1934</v>
      </c>
      <c r="S179" s="14">
        <v>2072</v>
      </c>
      <c r="T179" s="14">
        <v>2486</v>
      </c>
      <c r="U179" s="14">
        <v>2872</v>
      </c>
      <c r="V179" s="14">
        <v>3204</v>
      </c>
      <c r="W179" s="23">
        <v>3536</v>
      </c>
    </row>
    <row r="180" spans="2:23">
      <c r="B180" s="19" t="s">
        <v>233</v>
      </c>
      <c r="C180" s="2">
        <v>369278</v>
      </c>
      <c r="D180" s="2">
        <v>425774</v>
      </c>
      <c r="E180" s="9">
        <v>513600</v>
      </c>
      <c r="F180" s="2">
        <v>657408</v>
      </c>
      <c r="G180" s="2">
        <v>732394</v>
      </c>
      <c r="H180" s="10">
        <f t="shared" si="14"/>
        <v>-8.2857142857142851E-2</v>
      </c>
      <c r="I180" s="14"/>
      <c r="J180" s="14" t="s">
        <v>233</v>
      </c>
      <c r="K180" s="14">
        <v>1155</v>
      </c>
      <c r="L180" s="14">
        <v>1270</v>
      </c>
      <c r="M180" s="14">
        <v>1625</v>
      </c>
      <c r="N180" s="14">
        <v>2260</v>
      </c>
      <c r="O180" s="14">
        <v>2726</v>
      </c>
      <c r="P180" s="20"/>
      <c r="Q180" s="14" t="s">
        <v>233</v>
      </c>
      <c r="R180" s="14">
        <v>1700</v>
      </c>
      <c r="S180" s="14">
        <v>1820</v>
      </c>
      <c r="T180" s="14">
        <v>2184</v>
      </c>
      <c r="U180" s="14">
        <v>2524</v>
      </c>
      <c r="V180" s="14">
        <v>2816</v>
      </c>
      <c r="W180" s="23">
        <v>3108</v>
      </c>
    </row>
    <row r="181" spans="2:23">
      <c r="B181" s="19" t="s">
        <v>234</v>
      </c>
      <c r="C181" s="2">
        <v>402640</v>
      </c>
      <c r="D181" s="2">
        <v>464240</v>
      </c>
      <c r="E181" s="9">
        <v>560000</v>
      </c>
      <c r="F181" s="2">
        <v>716800</v>
      </c>
      <c r="G181" s="2">
        <v>798560</v>
      </c>
      <c r="H181" s="10">
        <f t="shared" si="14"/>
        <v>0</v>
      </c>
      <c r="I181" s="14"/>
      <c r="J181" s="14" t="s">
        <v>234</v>
      </c>
      <c r="K181" s="14">
        <v>1078</v>
      </c>
      <c r="L181" s="14">
        <v>1175</v>
      </c>
      <c r="M181" s="14">
        <v>1542</v>
      </c>
      <c r="N181" s="14">
        <v>2145</v>
      </c>
      <c r="O181" s="14">
        <v>2316</v>
      </c>
      <c r="P181" s="20"/>
      <c r="Q181" s="14" t="s">
        <v>234</v>
      </c>
      <c r="R181" s="14">
        <v>1796</v>
      </c>
      <c r="S181" s="14">
        <v>1924</v>
      </c>
      <c r="T181" s="14">
        <v>2310</v>
      </c>
      <c r="U181" s="14">
        <v>2668</v>
      </c>
      <c r="V181" s="14">
        <v>2976</v>
      </c>
      <c r="W181" s="23">
        <v>3284</v>
      </c>
    </row>
    <row r="182" spans="2:23">
      <c r="B182" s="19" t="s">
        <v>235</v>
      </c>
      <c r="C182" s="2">
        <v>402640</v>
      </c>
      <c r="D182" s="2">
        <v>464240</v>
      </c>
      <c r="E182" s="9">
        <v>560000</v>
      </c>
      <c r="F182" s="2">
        <v>716800</v>
      </c>
      <c r="G182" s="2">
        <v>798560</v>
      </c>
      <c r="H182" s="10">
        <f t="shared" si="14"/>
        <v>0</v>
      </c>
      <c r="I182" s="14"/>
      <c r="J182" s="14" t="s">
        <v>235</v>
      </c>
      <c r="K182" s="14">
        <v>989</v>
      </c>
      <c r="L182" s="14">
        <v>995</v>
      </c>
      <c r="M182" s="14">
        <v>1306</v>
      </c>
      <c r="N182" s="14">
        <v>1723</v>
      </c>
      <c r="O182" s="14">
        <v>1729</v>
      </c>
      <c r="P182" s="20"/>
      <c r="Q182" s="14" t="s">
        <v>235</v>
      </c>
      <c r="R182" s="14">
        <v>1700</v>
      </c>
      <c r="S182" s="14">
        <v>1820</v>
      </c>
      <c r="T182" s="14">
        <v>2184</v>
      </c>
      <c r="U182" s="14">
        <v>2524</v>
      </c>
      <c r="V182" s="14">
        <v>2816</v>
      </c>
      <c r="W182" s="23">
        <v>3108</v>
      </c>
    </row>
    <row r="183" spans="2:23">
      <c r="B183" s="19" t="s">
        <v>236</v>
      </c>
      <c r="C183" s="2">
        <v>491221</v>
      </c>
      <c r="D183" s="2">
        <v>566373</v>
      </c>
      <c r="E183" s="9">
        <v>683200</v>
      </c>
      <c r="F183" s="2">
        <v>874496</v>
      </c>
      <c r="G183" s="2">
        <v>974243</v>
      </c>
      <c r="H183" s="10">
        <f t="shared" si="14"/>
        <v>0.21999999999999997</v>
      </c>
      <c r="I183" s="14"/>
      <c r="J183" s="14" t="s">
        <v>236</v>
      </c>
      <c r="K183" s="14">
        <v>2142</v>
      </c>
      <c r="L183" s="14">
        <v>2385</v>
      </c>
      <c r="M183" s="14">
        <v>2912</v>
      </c>
      <c r="N183" s="14">
        <v>3724</v>
      </c>
      <c r="O183" s="14">
        <v>4413</v>
      </c>
      <c r="P183" s="20"/>
      <c r="Q183" s="14" t="s">
        <v>236</v>
      </c>
      <c r="R183" s="14">
        <v>2970</v>
      </c>
      <c r="S183" s="14">
        <v>3182</v>
      </c>
      <c r="T183" s="14">
        <v>3820</v>
      </c>
      <c r="U183" s="14">
        <v>4412</v>
      </c>
      <c r="V183" s="14">
        <v>4922</v>
      </c>
      <c r="W183" s="23">
        <v>5432</v>
      </c>
    </row>
    <row r="184" spans="2:23">
      <c r="B184" s="19" t="s">
        <v>237</v>
      </c>
      <c r="C184" s="2">
        <v>402640</v>
      </c>
      <c r="D184" s="2">
        <v>464240</v>
      </c>
      <c r="E184" s="9">
        <v>560000</v>
      </c>
      <c r="F184" s="2">
        <v>716800</v>
      </c>
      <c r="G184" s="2">
        <v>798560</v>
      </c>
      <c r="H184" s="10">
        <f t="shared" si="14"/>
        <v>0</v>
      </c>
      <c r="I184" s="14"/>
      <c r="J184" s="14" t="s">
        <v>237</v>
      </c>
      <c r="K184" s="14">
        <v>957</v>
      </c>
      <c r="L184" s="14">
        <v>1222</v>
      </c>
      <c r="M184" s="14">
        <v>1370</v>
      </c>
      <c r="N184" s="14">
        <v>1905</v>
      </c>
      <c r="O184" s="14">
        <v>2277</v>
      </c>
      <c r="P184" s="20"/>
      <c r="Q184" s="14" t="s">
        <v>237</v>
      </c>
      <c r="R184" s="14">
        <v>1700</v>
      </c>
      <c r="S184" s="14">
        <v>1820</v>
      </c>
      <c r="T184" s="14">
        <v>2184</v>
      </c>
      <c r="U184" s="14">
        <v>2524</v>
      </c>
      <c r="V184" s="14">
        <v>2816</v>
      </c>
      <c r="W184" s="23">
        <v>3108</v>
      </c>
    </row>
    <row r="185" spans="2:23">
      <c r="B185" s="19" t="s">
        <v>238</v>
      </c>
      <c r="C185" s="2">
        <v>360075</v>
      </c>
      <c r="D185" s="2">
        <v>415163</v>
      </c>
      <c r="E185" s="9">
        <v>500800</v>
      </c>
      <c r="F185" s="2">
        <v>641024</v>
      </c>
      <c r="G185" s="2">
        <v>714141</v>
      </c>
      <c r="H185" s="10">
        <f t="shared" si="14"/>
        <v>-0.10571428571428576</v>
      </c>
      <c r="I185" s="14"/>
      <c r="J185" s="14" t="s">
        <v>238</v>
      </c>
      <c r="K185" s="14">
        <v>1748</v>
      </c>
      <c r="L185" s="14">
        <v>1832</v>
      </c>
      <c r="M185" s="14">
        <v>2255</v>
      </c>
      <c r="N185" s="14">
        <v>3002</v>
      </c>
      <c r="O185" s="14">
        <v>3460</v>
      </c>
      <c r="P185" s="20"/>
      <c r="Q185" s="14" t="s">
        <v>238</v>
      </c>
      <c r="R185" s="14">
        <v>2300</v>
      </c>
      <c r="S185" s="14">
        <v>2464</v>
      </c>
      <c r="T185" s="14">
        <v>2956</v>
      </c>
      <c r="U185" s="14">
        <v>3416</v>
      </c>
      <c r="V185" s="14">
        <v>3812</v>
      </c>
      <c r="W185" s="23">
        <v>4206</v>
      </c>
    </row>
    <row r="186" spans="2:23">
      <c r="B186" s="19" t="s">
        <v>239</v>
      </c>
      <c r="C186" s="2">
        <v>323262</v>
      </c>
      <c r="D186" s="2">
        <v>372718</v>
      </c>
      <c r="E186" s="9">
        <v>449600</v>
      </c>
      <c r="F186" s="2">
        <v>575488</v>
      </c>
      <c r="G186" s="2">
        <v>641130</v>
      </c>
      <c r="H186" s="10">
        <f t="shared" si="14"/>
        <v>-0.19714285714285718</v>
      </c>
      <c r="I186" s="14"/>
      <c r="J186" s="14" t="s">
        <v>239</v>
      </c>
      <c r="K186" s="14">
        <v>1347</v>
      </c>
      <c r="L186" s="14">
        <v>1355</v>
      </c>
      <c r="M186" s="14">
        <v>1664</v>
      </c>
      <c r="N186" s="14">
        <v>2314</v>
      </c>
      <c r="O186" s="14">
        <v>2660</v>
      </c>
      <c r="P186" s="20"/>
      <c r="Q186" s="14" t="s">
        <v>239</v>
      </c>
      <c r="R186" s="14">
        <v>1700</v>
      </c>
      <c r="S186" s="14">
        <v>1820</v>
      </c>
      <c r="T186" s="14">
        <v>2184</v>
      </c>
      <c r="U186" s="14">
        <v>2524</v>
      </c>
      <c r="V186" s="14">
        <v>2816</v>
      </c>
      <c r="W186" s="23">
        <v>3108</v>
      </c>
    </row>
    <row r="187" spans="2:23">
      <c r="B187" s="19" t="s">
        <v>240</v>
      </c>
      <c r="C187" s="2">
        <v>402640</v>
      </c>
      <c r="D187" s="2">
        <v>464240</v>
      </c>
      <c r="E187" s="9">
        <v>560000</v>
      </c>
      <c r="F187" s="2">
        <v>716800</v>
      </c>
      <c r="G187" s="2">
        <v>798560</v>
      </c>
      <c r="H187" s="10">
        <f t="shared" si="14"/>
        <v>0</v>
      </c>
      <c r="I187" s="14"/>
      <c r="J187" s="14" t="s">
        <v>240</v>
      </c>
      <c r="K187" s="14">
        <v>939</v>
      </c>
      <c r="L187" s="14">
        <v>1038</v>
      </c>
      <c r="M187" s="14">
        <v>1362</v>
      </c>
      <c r="N187" s="14">
        <v>1807</v>
      </c>
      <c r="O187" s="14">
        <v>2179</v>
      </c>
      <c r="P187" s="20"/>
      <c r="Q187" s="14" t="s">
        <v>240</v>
      </c>
      <c r="R187" s="14">
        <v>1700</v>
      </c>
      <c r="S187" s="14">
        <v>1820</v>
      </c>
      <c r="T187" s="14">
        <v>2184</v>
      </c>
      <c r="U187" s="14">
        <v>2524</v>
      </c>
      <c r="V187" s="14">
        <v>2816</v>
      </c>
      <c r="W187" s="23">
        <v>3108</v>
      </c>
    </row>
    <row r="188" spans="2:23">
      <c r="B188" s="19" t="s">
        <v>241</v>
      </c>
      <c r="C188" s="2">
        <v>402640</v>
      </c>
      <c r="D188" s="2">
        <v>464240</v>
      </c>
      <c r="E188" s="9">
        <v>560000</v>
      </c>
      <c r="F188" s="2">
        <v>716800</v>
      </c>
      <c r="G188" s="2">
        <v>798560</v>
      </c>
      <c r="H188" s="10">
        <f t="shared" si="14"/>
        <v>0</v>
      </c>
      <c r="I188" s="14"/>
      <c r="J188" s="14" t="s">
        <v>241</v>
      </c>
      <c r="K188" s="14">
        <v>1112</v>
      </c>
      <c r="L188" s="14">
        <v>1186</v>
      </c>
      <c r="M188" s="14">
        <v>1550</v>
      </c>
      <c r="N188" s="14">
        <v>2156</v>
      </c>
      <c r="O188" s="14">
        <v>2600</v>
      </c>
      <c r="P188" s="20"/>
      <c r="Q188" s="14" t="s">
        <v>241</v>
      </c>
      <c r="R188" s="14">
        <v>1700</v>
      </c>
      <c r="S188" s="14">
        <v>1820</v>
      </c>
      <c r="T188" s="14">
        <v>2184</v>
      </c>
      <c r="U188" s="14">
        <v>2524</v>
      </c>
      <c r="V188" s="14">
        <v>2816</v>
      </c>
      <c r="W188" s="23">
        <v>3108</v>
      </c>
    </row>
    <row r="189" spans="2:23">
      <c r="B189" s="19" t="s">
        <v>242</v>
      </c>
      <c r="C189" s="2">
        <v>381933</v>
      </c>
      <c r="D189" s="2">
        <v>440365</v>
      </c>
      <c r="E189" s="9">
        <v>531200</v>
      </c>
      <c r="F189" s="2">
        <v>679936</v>
      </c>
      <c r="G189" s="2">
        <v>757491</v>
      </c>
      <c r="H189" s="10">
        <f t="shared" si="14"/>
        <v>-5.1428571428571379E-2</v>
      </c>
      <c r="I189" s="14"/>
      <c r="J189" s="14" t="s">
        <v>242</v>
      </c>
      <c r="K189" s="14">
        <v>939</v>
      </c>
      <c r="L189" s="14">
        <v>1038</v>
      </c>
      <c r="M189" s="14">
        <v>1362</v>
      </c>
      <c r="N189" s="14">
        <v>1845</v>
      </c>
      <c r="O189" s="14">
        <v>2285</v>
      </c>
      <c r="P189" s="20"/>
      <c r="Q189" s="14" t="s">
        <v>242</v>
      </c>
      <c r="R189" s="14">
        <v>1700</v>
      </c>
      <c r="S189" s="14">
        <v>1820</v>
      </c>
      <c r="T189" s="14">
        <v>2184</v>
      </c>
      <c r="U189" s="14">
        <v>2524</v>
      </c>
      <c r="V189" s="14">
        <v>2816</v>
      </c>
      <c r="W189" s="23">
        <v>3108</v>
      </c>
    </row>
    <row r="190" spans="2:23">
      <c r="B190" s="19" t="s">
        <v>243</v>
      </c>
      <c r="C190" s="2">
        <v>402640</v>
      </c>
      <c r="D190" s="2">
        <v>464240</v>
      </c>
      <c r="E190" s="9">
        <v>560000</v>
      </c>
      <c r="F190" s="2">
        <v>716800</v>
      </c>
      <c r="G190" s="2">
        <v>798560</v>
      </c>
      <c r="H190" s="10">
        <f t="shared" si="14"/>
        <v>0</v>
      </c>
      <c r="I190" s="14"/>
      <c r="J190" s="14" t="s">
        <v>243</v>
      </c>
      <c r="K190" s="14">
        <v>1058</v>
      </c>
      <c r="L190" s="14">
        <v>1381</v>
      </c>
      <c r="M190" s="14">
        <v>1514</v>
      </c>
      <c r="N190" s="14">
        <v>1940</v>
      </c>
      <c r="O190" s="14">
        <v>2540</v>
      </c>
      <c r="P190" s="20"/>
      <c r="Q190" s="14" t="s">
        <v>243</v>
      </c>
      <c r="R190" s="14">
        <v>1700</v>
      </c>
      <c r="S190" s="14">
        <v>1820</v>
      </c>
      <c r="T190" s="14">
        <v>2184</v>
      </c>
      <c r="U190" s="14">
        <v>2524</v>
      </c>
      <c r="V190" s="14">
        <v>2816</v>
      </c>
      <c r="W190" s="23">
        <v>3108</v>
      </c>
    </row>
    <row r="191" spans="2:23">
      <c r="B191" s="19" t="s">
        <v>244</v>
      </c>
      <c r="C191" s="2">
        <v>323262</v>
      </c>
      <c r="D191" s="2">
        <v>372718</v>
      </c>
      <c r="E191" s="9">
        <v>449600</v>
      </c>
      <c r="F191" s="2">
        <v>575488</v>
      </c>
      <c r="G191" s="2">
        <v>641130</v>
      </c>
      <c r="H191" s="10">
        <f t="shared" si="14"/>
        <v>-0.19714285714285718</v>
      </c>
      <c r="I191" s="14"/>
      <c r="J191" s="14" t="s">
        <v>244</v>
      </c>
      <c r="K191" s="14">
        <v>1132</v>
      </c>
      <c r="L191" s="14">
        <v>1140</v>
      </c>
      <c r="M191" s="14">
        <v>1483</v>
      </c>
      <c r="N191" s="14">
        <v>2062</v>
      </c>
      <c r="O191" s="14">
        <v>2488</v>
      </c>
      <c r="P191" s="20"/>
      <c r="Q191" s="14" t="s">
        <v>244</v>
      </c>
      <c r="R191" s="14">
        <v>1700</v>
      </c>
      <c r="S191" s="14">
        <v>1820</v>
      </c>
      <c r="T191" s="14">
        <v>2184</v>
      </c>
      <c r="U191" s="14">
        <v>2524</v>
      </c>
      <c r="V191" s="14">
        <v>2816</v>
      </c>
      <c r="W191" s="23">
        <v>3108</v>
      </c>
    </row>
    <row r="192" spans="2:23">
      <c r="B192" s="19" t="s">
        <v>245</v>
      </c>
      <c r="C192" s="2">
        <v>323262</v>
      </c>
      <c r="D192" s="2">
        <v>372718</v>
      </c>
      <c r="E192" s="9">
        <v>449600</v>
      </c>
      <c r="F192" s="2">
        <v>575488</v>
      </c>
      <c r="G192" s="2">
        <v>641130</v>
      </c>
      <c r="H192" s="10">
        <f t="shared" si="14"/>
        <v>-0.19714285714285718</v>
      </c>
      <c r="I192" s="14"/>
      <c r="J192" s="14" t="s">
        <v>245</v>
      </c>
      <c r="K192" s="14">
        <v>1150</v>
      </c>
      <c r="L192" s="14">
        <v>1157</v>
      </c>
      <c r="M192" s="14">
        <v>1469</v>
      </c>
      <c r="N192" s="14">
        <v>2043</v>
      </c>
      <c r="O192" s="14">
        <v>2451</v>
      </c>
      <c r="P192" s="20"/>
      <c r="Q192" s="14" t="s">
        <v>245</v>
      </c>
      <c r="R192" s="14">
        <v>1700</v>
      </c>
      <c r="S192" s="14">
        <v>1820</v>
      </c>
      <c r="T192" s="14">
        <v>2184</v>
      </c>
      <c r="U192" s="14">
        <v>2524</v>
      </c>
      <c r="V192" s="14">
        <v>2816</v>
      </c>
      <c r="W192" s="23">
        <v>3108</v>
      </c>
    </row>
    <row r="193" spans="2:23">
      <c r="B193" s="19" t="s">
        <v>246</v>
      </c>
      <c r="C193" s="2">
        <v>402640</v>
      </c>
      <c r="D193" s="2">
        <v>464240</v>
      </c>
      <c r="E193" s="9">
        <v>560000</v>
      </c>
      <c r="F193" s="2">
        <v>716800</v>
      </c>
      <c r="G193" s="2">
        <v>798560</v>
      </c>
      <c r="H193" s="10">
        <f t="shared" si="14"/>
        <v>0</v>
      </c>
      <c r="I193" s="14"/>
      <c r="J193" s="14" t="s">
        <v>246</v>
      </c>
      <c r="K193" s="14">
        <v>1173</v>
      </c>
      <c r="L193" s="14">
        <v>1181</v>
      </c>
      <c r="M193" s="14">
        <v>1549</v>
      </c>
      <c r="N193" s="14">
        <v>2154</v>
      </c>
      <c r="O193" s="14">
        <v>2599</v>
      </c>
      <c r="P193" s="20"/>
      <c r="Q193" s="14" t="s">
        <v>246</v>
      </c>
      <c r="R193" s="14">
        <v>1700</v>
      </c>
      <c r="S193" s="14">
        <v>1820</v>
      </c>
      <c r="T193" s="14">
        <v>2184</v>
      </c>
      <c r="U193" s="14">
        <v>2524</v>
      </c>
      <c r="V193" s="14">
        <v>2816</v>
      </c>
      <c r="W193" s="23">
        <v>3108</v>
      </c>
    </row>
    <row r="194" spans="2:23">
      <c r="B194" s="19" t="s">
        <v>247</v>
      </c>
      <c r="C194" s="2">
        <v>402640</v>
      </c>
      <c r="D194" s="2">
        <v>464240</v>
      </c>
      <c r="E194" s="9">
        <v>560000</v>
      </c>
      <c r="F194" s="2">
        <v>716800</v>
      </c>
      <c r="G194" s="2">
        <v>798560</v>
      </c>
      <c r="H194" s="10">
        <f t="shared" si="14"/>
        <v>0</v>
      </c>
      <c r="I194" s="14"/>
      <c r="J194" s="14" t="s">
        <v>247</v>
      </c>
      <c r="K194" s="14">
        <v>882</v>
      </c>
      <c r="L194" s="14">
        <v>1016</v>
      </c>
      <c r="M194" s="14">
        <v>1279</v>
      </c>
      <c r="N194" s="14">
        <v>1779</v>
      </c>
      <c r="O194" s="14">
        <v>2146</v>
      </c>
      <c r="P194" s="20"/>
      <c r="Q194" s="14" t="s">
        <v>247</v>
      </c>
      <c r="R194" s="14">
        <v>1700</v>
      </c>
      <c r="S194" s="14">
        <v>1820</v>
      </c>
      <c r="T194" s="14">
        <v>2184</v>
      </c>
      <c r="U194" s="14">
        <v>2524</v>
      </c>
      <c r="V194" s="14">
        <v>2816</v>
      </c>
      <c r="W194" s="23">
        <v>3108</v>
      </c>
    </row>
    <row r="195" spans="2:23">
      <c r="B195" s="19" t="s">
        <v>248</v>
      </c>
      <c r="C195" s="2">
        <v>437727</v>
      </c>
      <c r="D195" s="2">
        <v>504695</v>
      </c>
      <c r="E195" s="9">
        <v>608800</v>
      </c>
      <c r="F195" s="2">
        <v>779264</v>
      </c>
      <c r="G195" s="2">
        <v>868149</v>
      </c>
      <c r="H195" s="10">
        <f t="shared" si="14"/>
        <v>8.7142857142857189E-2</v>
      </c>
      <c r="I195" s="14"/>
      <c r="J195" s="14" t="s">
        <v>248</v>
      </c>
      <c r="K195" s="14">
        <v>2079</v>
      </c>
      <c r="L195" s="14">
        <v>2328</v>
      </c>
      <c r="M195" s="14">
        <v>2903</v>
      </c>
      <c r="N195" s="14">
        <v>3681</v>
      </c>
      <c r="O195" s="14">
        <v>4098</v>
      </c>
      <c r="P195" s="20"/>
      <c r="Q195" s="14" t="s">
        <v>248</v>
      </c>
      <c r="R195" s="14">
        <v>2914</v>
      </c>
      <c r="S195" s="14">
        <v>3122</v>
      </c>
      <c r="T195" s="14">
        <v>3746</v>
      </c>
      <c r="U195" s="14">
        <v>4330</v>
      </c>
      <c r="V195" s="14">
        <v>4830</v>
      </c>
      <c r="W195" s="23">
        <v>5330</v>
      </c>
    </row>
    <row r="196" spans="2:23">
      <c r="B196" s="19" t="s">
        <v>249</v>
      </c>
      <c r="C196" s="2">
        <v>323262</v>
      </c>
      <c r="D196" s="2">
        <v>372718</v>
      </c>
      <c r="E196" s="9">
        <v>449600</v>
      </c>
      <c r="F196" s="2">
        <v>575488</v>
      </c>
      <c r="G196" s="2">
        <v>641130</v>
      </c>
      <c r="H196" s="10">
        <f t="shared" si="14"/>
        <v>-0.19714285714285718</v>
      </c>
      <c r="I196" s="14"/>
      <c r="J196" s="14" t="s">
        <v>249</v>
      </c>
      <c r="K196" s="14">
        <v>1055</v>
      </c>
      <c r="L196" s="14">
        <v>1062</v>
      </c>
      <c r="M196" s="14">
        <v>1376</v>
      </c>
      <c r="N196" s="14">
        <v>1914</v>
      </c>
      <c r="O196" s="14">
        <v>2275</v>
      </c>
      <c r="P196" s="20"/>
      <c r="Q196" s="14" t="s">
        <v>249</v>
      </c>
      <c r="R196" s="14">
        <v>1700</v>
      </c>
      <c r="S196" s="14">
        <v>1820</v>
      </c>
      <c r="T196" s="14">
        <v>2184</v>
      </c>
      <c r="U196" s="14">
        <v>2524</v>
      </c>
      <c r="V196" s="14">
        <v>2816</v>
      </c>
      <c r="W196" s="23">
        <v>3108</v>
      </c>
    </row>
    <row r="197" spans="2:23">
      <c r="B197" s="19" t="s">
        <v>250</v>
      </c>
      <c r="C197" s="2">
        <v>406666</v>
      </c>
      <c r="D197" s="2">
        <v>468882</v>
      </c>
      <c r="E197" s="9">
        <v>565600</v>
      </c>
      <c r="F197" s="2">
        <v>723968</v>
      </c>
      <c r="G197" s="2">
        <v>806546</v>
      </c>
      <c r="H197" s="10">
        <f t="shared" si="14"/>
        <v>1.0000000000000009E-2</v>
      </c>
      <c r="I197" s="14"/>
      <c r="J197" s="14" t="s">
        <v>250</v>
      </c>
      <c r="K197" s="14">
        <v>2485</v>
      </c>
      <c r="L197" s="14">
        <v>2977</v>
      </c>
      <c r="M197" s="14">
        <v>3604</v>
      </c>
      <c r="N197" s="14">
        <v>4604</v>
      </c>
      <c r="O197" s="14">
        <v>4772</v>
      </c>
      <c r="P197" s="20"/>
      <c r="Q197" s="14" t="s">
        <v>250</v>
      </c>
      <c r="R197" s="14">
        <v>3676</v>
      </c>
      <c r="S197" s="14">
        <v>3940</v>
      </c>
      <c r="T197" s="14">
        <v>4726</v>
      </c>
      <c r="U197" s="14">
        <v>5462</v>
      </c>
      <c r="V197" s="14">
        <v>6094</v>
      </c>
      <c r="W197" s="23">
        <v>6724</v>
      </c>
    </row>
    <row r="198" spans="2:23">
      <c r="B198" s="19" t="s">
        <v>251</v>
      </c>
      <c r="C198" s="2">
        <v>402640</v>
      </c>
      <c r="D198" s="2">
        <v>464240</v>
      </c>
      <c r="E198" s="9">
        <v>560000</v>
      </c>
      <c r="F198" s="2">
        <v>716800</v>
      </c>
      <c r="G198" s="2">
        <v>798560</v>
      </c>
      <c r="H198" s="10">
        <f t="shared" si="14"/>
        <v>0</v>
      </c>
      <c r="I198" s="14"/>
      <c r="J198" s="14" t="s">
        <v>251</v>
      </c>
      <c r="K198" s="14">
        <v>1016</v>
      </c>
      <c r="L198" s="14">
        <v>1148</v>
      </c>
      <c r="M198" s="14">
        <v>1454</v>
      </c>
      <c r="N198" s="14">
        <v>2022</v>
      </c>
      <c r="O198" s="14">
        <v>2439</v>
      </c>
      <c r="P198" s="20"/>
      <c r="Q198" s="14" t="s">
        <v>251</v>
      </c>
      <c r="R198" s="14">
        <v>1700</v>
      </c>
      <c r="S198" s="14">
        <v>1820</v>
      </c>
      <c r="T198" s="14">
        <v>2184</v>
      </c>
      <c r="U198" s="14">
        <v>2524</v>
      </c>
      <c r="V198" s="14">
        <v>2816</v>
      </c>
      <c r="W198" s="23">
        <v>3108</v>
      </c>
    </row>
    <row r="199" spans="2:23">
      <c r="B199" s="19" t="s">
        <v>252</v>
      </c>
      <c r="C199" s="2">
        <v>402640</v>
      </c>
      <c r="D199" s="2">
        <v>464240</v>
      </c>
      <c r="E199" s="9">
        <v>560000</v>
      </c>
      <c r="F199" s="2">
        <v>716800</v>
      </c>
      <c r="G199" s="2">
        <v>798560</v>
      </c>
      <c r="H199" s="10">
        <f t="shared" si="14"/>
        <v>0</v>
      </c>
      <c r="I199" s="14"/>
      <c r="J199" s="14" t="s">
        <v>252</v>
      </c>
      <c r="K199" s="14">
        <v>1269</v>
      </c>
      <c r="L199" s="14">
        <v>1306</v>
      </c>
      <c r="M199" s="14">
        <v>1713</v>
      </c>
      <c r="N199" s="14">
        <v>2382</v>
      </c>
      <c r="O199" s="14">
        <v>2789</v>
      </c>
      <c r="P199" s="20"/>
      <c r="Q199" s="14" t="s">
        <v>252</v>
      </c>
      <c r="R199" s="14">
        <v>1746</v>
      </c>
      <c r="S199" s="14">
        <v>1872</v>
      </c>
      <c r="T199" s="14">
        <v>2246</v>
      </c>
      <c r="U199" s="14">
        <v>2594</v>
      </c>
      <c r="V199" s="14">
        <v>2894</v>
      </c>
      <c r="W199" s="23">
        <v>3194</v>
      </c>
    </row>
    <row r="200" spans="2:23">
      <c r="B200" s="19" t="s">
        <v>253</v>
      </c>
      <c r="C200" s="2">
        <v>323262</v>
      </c>
      <c r="D200" s="2">
        <v>372718</v>
      </c>
      <c r="E200" s="9">
        <v>449600</v>
      </c>
      <c r="F200" s="2">
        <v>575488</v>
      </c>
      <c r="G200" s="2">
        <v>641130</v>
      </c>
      <c r="H200" s="10">
        <f t="shared" si="14"/>
        <v>-0.19714285714285718</v>
      </c>
      <c r="I200" s="14"/>
      <c r="J200" s="14" t="s">
        <v>253</v>
      </c>
      <c r="K200" s="14">
        <v>1116</v>
      </c>
      <c r="L200" s="14">
        <v>1213</v>
      </c>
      <c r="M200" s="14">
        <v>1503</v>
      </c>
      <c r="N200" s="14">
        <v>2067</v>
      </c>
      <c r="O200" s="14">
        <v>2503</v>
      </c>
      <c r="P200" s="20"/>
      <c r="Q200" s="14" t="s">
        <v>253</v>
      </c>
      <c r="R200" s="14">
        <v>1700</v>
      </c>
      <c r="S200" s="14">
        <v>1820</v>
      </c>
      <c r="T200" s="14">
        <v>2184</v>
      </c>
      <c r="U200" s="14">
        <v>2524</v>
      </c>
      <c r="V200" s="14">
        <v>2816</v>
      </c>
      <c r="W200" s="23">
        <v>3108</v>
      </c>
    </row>
    <row r="201" spans="2:23">
      <c r="B201" s="19" t="s">
        <v>254</v>
      </c>
      <c r="C201" s="2">
        <v>402640</v>
      </c>
      <c r="D201" s="2">
        <v>464240</v>
      </c>
      <c r="E201" s="9">
        <v>560000</v>
      </c>
      <c r="F201" s="2">
        <v>716800</v>
      </c>
      <c r="G201" s="2">
        <v>798560</v>
      </c>
      <c r="H201" s="10">
        <f t="shared" si="14"/>
        <v>0</v>
      </c>
      <c r="I201" s="14"/>
      <c r="J201" s="14" t="s">
        <v>254</v>
      </c>
      <c r="K201" s="14">
        <v>774</v>
      </c>
      <c r="L201" s="14">
        <v>883</v>
      </c>
      <c r="M201" s="14">
        <v>1108</v>
      </c>
      <c r="N201" s="14">
        <v>1434</v>
      </c>
      <c r="O201" s="14">
        <v>1831</v>
      </c>
      <c r="P201" s="20"/>
      <c r="Q201" s="14" t="s">
        <v>254</v>
      </c>
      <c r="R201" s="14">
        <v>1700</v>
      </c>
      <c r="S201" s="14">
        <v>1820</v>
      </c>
      <c r="T201" s="14">
        <v>2184</v>
      </c>
      <c r="U201" s="14">
        <v>2524</v>
      </c>
      <c r="V201" s="14">
        <v>2816</v>
      </c>
      <c r="W201" s="23">
        <v>3108</v>
      </c>
    </row>
    <row r="202" spans="2:23">
      <c r="B202" s="19" t="s">
        <v>255</v>
      </c>
      <c r="C202" s="2">
        <v>402640</v>
      </c>
      <c r="D202" s="2">
        <v>464240</v>
      </c>
      <c r="E202" s="9">
        <v>560000</v>
      </c>
      <c r="F202" s="2">
        <v>716800</v>
      </c>
      <c r="G202" s="2">
        <v>798560</v>
      </c>
      <c r="H202" s="10">
        <f t="shared" si="14"/>
        <v>0</v>
      </c>
      <c r="I202" s="14"/>
      <c r="J202" s="14" t="s">
        <v>255</v>
      </c>
      <c r="K202" s="14">
        <v>1171</v>
      </c>
      <c r="L202" s="14">
        <v>1528</v>
      </c>
      <c r="M202" s="14">
        <v>1675</v>
      </c>
      <c r="N202" s="14">
        <v>2330</v>
      </c>
      <c r="O202" s="14">
        <v>2769</v>
      </c>
      <c r="P202" s="20"/>
      <c r="Q202" s="14" t="s">
        <v>255</v>
      </c>
      <c r="R202" s="14">
        <v>1962</v>
      </c>
      <c r="S202" s="14">
        <v>2102</v>
      </c>
      <c r="T202" s="14">
        <v>2522</v>
      </c>
      <c r="U202" s="14">
        <v>2918</v>
      </c>
      <c r="V202" s="14">
        <v>3254</v>
      </c>
      <c r="W202" s="23">
        <v>3590</v>
      </c>
    </row>
    <row r="203" spans="2:23">
      <c r="B203" s="19" t="s">
        <v>256</v>
      </c>
      <c r="C203" s="2">
        <v>442904</v>
      </c>
      <c r="D203" s="2">
        <v>510664</v>
      </c>
      <c r="E203" s="9">
        <v>616000</v>
      </c>
      <c r="F203" s="2">
        <v>788480</v>
      </c>
      <c r="G203" s="2">
        <v>878416</v>
      </c>
      <c r="H203" s="10">
        <f t="shared" si="14"/>
        <v>0.10000000000000009</v>
      </c>
      <c r="I203" s="14"/>
      <c r="J203" s="14" t="s">
        <v>256</v>
      </c>
      <c r="K203" s="14">
        <v>2173</v>
      </c>
      <c r="L203" s="14">
        <v>2232</v>
      </c>
      <c r="M203" s="14">
        <v>2684</v>
      </c>
      <c r="N203" s="14">
        <v>3623</v>
      </c>
      <c r="O203" s="14">
        <v>3945</v>
      </c>
      <c r="P203" s="20"/>
      <c r="Q203" s="14" t="s">
        <v>256</v>
      </c>
      <c r="R203" s="14">
        <v>2736</v>
      </c>
      <c r="S203" s="14">
        <v>2932</v>
      </c>
      <c r="T203" s="14">
        <v>3520</v>
      </c>
      <c r="U203" s="14">
        <v>4066</v>
      </c>
      <c r="V203" s="14">
        <v>4536</v>
      </c>
      <c r="W203" s="23">
        <v>5006</v>
      </c>
    </row>
    <row r="204" spans="2:23">
      <c r="B204" s="19" t="s">
        <v>257</v>
      </c>
      <c r="C204" s="2">
        <v>406666</v>
      </c>
      <c r="D204" s="2">
        <v>468882</v>
      </c>
      <c r="E204" s="9">
        <v>565600</v>
      </c>
      <c r="F204" s="2">
        <v>723968</v>
      </c>
      <c r="G204" s="2">
        <v>806546</v>
      </c>
      <c r="H204" s="10">
        <f t="shared" si="14"/>
        <v>1.0000000000000009E-2</v>
      </c>
      <c r="I204" s="14"/>
      <c r="J204" s="14" t="s">
        <v>257</v>
      </c>
      <c r="K204" s="14">
        <v>2286</v>
      </c>
      <c r="L204" s="14">
        <v>2526</v>
      </c>
      <c r="M204" s="14">
        <v>3315</v>
      </c>
      <c r="N204" s="14">
        <v>4222</v>
      </c>
      <c r="O204" s="14">
        <v>4942</v>
      </c>
      <c r="P204" s="20"/>
      <c r="Q204" s="14" t="s">
        <v>257</v>
      </c>
      <c r="R204" s="14">
        <v>3084</v>
      </c>
      <c r="S204" s="14">
        <v>3304</v>
      </c>
      <c r="T204" s="14">
        <v>3966</v>
      </c>
      <c r="U204" s="14">
        <v>4584</v>
      </c>
      <c r="V204" s="14">
        <v>5114</v>
      </c>
      <c r="W204" s="23">
        <v>5640</v>
      </c>
    </row>
    <row r="205" spans="2:23">
      <c r="B205" s="19" t="s">
        <v>258</v>
      </c>
      <c r="C205" s="2">
        <v>402640</v>
      </c>
      <c r="D205" s="2">
        <v>464240</v>
      </c>
      <c r="E205" s="9">
        <v>560000</v>
      </c>
      <c r="F205" s="2">
        <v>716800</v>
      </c>
      <c r="G205" s="2">
        <v>798560</v>
      </c>
      <c r="H205" s="10">
        <f t="shared" si="14"/>
        <v>0</v>
      </c>
      <c r="I205" s="14"/>
      <c r="J205" s="14" t="s">
        <v>258</v>
      </c>
      <c r="K205" s="14">
        <v>1373</v>
      </c>
      <c r="L205" s="14">
        <v>1382</v>
      </c>
      <c r="M205" s="14">
        <v>1813</v>
      </c>
      <c r="N205" s="14">
        <v>2521</v>
      </c>
      <c r="O205" s="14">
        <v>3041</v>
      </c>
      <c r="P205" s="20"/>
      <c r="Q205" s="14" t="s">
        <v>258</v>
      </c>
      <c r="R205" s="14">
        <v>2190</v>
      </c>
      <c r="S205" s="14">
        <v>2346</v>
      </c>
      <c r="T205" s="14">
        <v>2814</v>
      </c>
      <c r="U205" s="14">
        <v>3252</v>
      </c>
      <c r="V205" s="14">
        <v>3630</v>
      </c>
      <c r="W205" s="23">
        <v>4004</v>
      </c>
    </row>
    <row r="206" spans="2:23">
      <c r="B206" s="19" t="s">
        <v>259</v>
      </c>
      <c r="C206" s="2">
        <v>402065</v>
      </c>
      <c r="D206" s="2">
        <v>463577</v>
      </c>
      <c r="E206" s="9">
        <v>559200</v>
      </c>
      <c r="F206" s="2">
        <v>715776</v>
      </c>
      <c r="G206" s="2">
        <v>797419</v>
      </c>
      <c r="H206" s="10">
        <f t="shared" si="14"/>
        <v>-1.4285714285714457E-3</v>
      </c>
      <c r="I206" s="14"/>
      <c r="J206" s="14" t="s">
        <v>259</v>
      </c>
      <c r="K206" s="14">
        <v>2682</v>
      </c>
      <c r="L206" s="14">
        <v>2746</v>
      </c>
      <c r="M206" s="14">
        <v>3236</v>
      </c>
      <c r="N206" s="14">
        <v>4393</v>
      </c>
      <c r="O206" s="14">
        <v>5246</v>
      </c>
      <c r="P206" s="20"/>
      <c r="Q206" s="14" t="s">
        <v>259</v>
      </c>
      <c r="R206" s="14">
        <v>3256</v>
      </c>
      <c r="S206" s="14">
        <v>3490</v>
      </c>
      <c r="T206" s="14">
        <v>4186</v>
      </c>
      <c r="U206" s="14">
        <v>4838</v>
      </c>
      <c r="V206" s="14">
        <v>5396</v>
      </c>
      <c r="W206" s="23">
        <v>5956</v>
      </c>
    </row>
    <row r="207" spans="2:23">
      <c r="B207" s="19" t="s">
        <v>260</v>
      </c>
      <c r="C207" s="2">
        <v>360075</v>
      </c>
      <c r="D207" s="2">
        <v>415163</v>
      </c>
      <c r="E207" s="9">
        <v>500800</v>
      </c>
      <c r="F207" s="2">
        <v>641024</v>
      </c>
      <c r="G207" s="2">
        <v>714141</v>
      </c>
      <c r="H207" s="10">
        <f t="shared" si="14"/>
        <v>-0.10571428571428576</v>
      </c>
      <c r="I207" s="14"/>
      <c r="J207" s="14" t="s">
        <v>260</v>
      </c>
      <c r="K207" s="14">
        <v>1748</v>
      </c>
      <c r="L207" s="14">
        <v>1832</v>
      </c>
      <c r="M207" s="14">
        <v>2255</v>
      </c>
      <c r="N207" s="14">
        <v>3002</v>
      </c>
      <c r="O207" s="14">
        <v>3460</v>
      </c>
      <c r="P207" s="20"/>
      <c r="Q207" s="14" t="s">
        <v>260</v>
      </c>
      <c r="R207" s="14">
        <v>2300</v>
      </c>
      <c r="S207" s="14">
        <v>2464</v>
      </c>
      <c r="T207" s="14">
        <v>2956</v>
      </c>
      <c r="U207" s="14">
        <v>3416</v>
      </c>
      <c r="V207" s="14">
        <v>3812</v>
      </c>
      <c r="W207" s="23">
        <v>4206</v>
      </c>
    </row>
    <row r="208" spans="2:23">
      <c r="B208" s="19" t="s">
        <v>261</v>
      </c>
      <c r="C208" s="2">
        <v>402640</v>
      </c>
      <c r="D208" s="2">
        <v>464240</v>
      </c>
      <c r="E208" s="9">
        <v>560000</v>
      </c>
      <c r="F208" s="2">
        <v>716800</v>
      </c>
      <c r="G208" s="2">
        <v>798560</v>
      </c>
      <c r="H208" s="10">
        <f t="shared" si="14"/>
        <v>0</v>
      </c>
      <c r="I208" s="14"/>
      <c r="J208" s="14" t="s">
        <v>261</v>
      </c>
      <c r="K208" s="14">
        <v>973</v>
      </c>
      <c r="L208" s="14">
        <v>1075</v>
      </c>
      <c r="M208" s="14">
        <v>1411</v>
      </c>
      <c r="N208" s="14">
        <v>1962</v>
      </c>
      <c r="O208" s="14">
        <v>1995</v>
      </c>
      <c r="P208" s="20"/>
      <c r="Q208" s="14" t="s">
        <v>261</v>
      </c>
      <c r="R208" s="14">
        <v>1700</v>
      </c>
      <c r="S208" s="14">
        <v>1820</v>
      </c>
      <c r="T208" s="14">
        <v>2184</v>
      </c>
      <c r="U208" s="14">
        <v>2524</v>
      </c>
      <c r="V208" s="14">
        <v>2816</v>
      </c>
      <c r="W208" s="23">
        <v>3108</v>
      </c>
    </row>
    <row r="209" spans="2:23">
      <c r="B209" s="19" t="s">
        <v>262</v>
      </c>
      <c r="C209" s="2">
        <v>381933</v>
      </c>
      <c r="D209" s="2">
        <v>440365</v>
      </c>
      <c r="E209" s="9">
        <v>531200</v>
      </c>
      <c r="F209" s="2">
        <v>679936</v>
      </c>
      <c r="G209" s="2">
        <v>757491</v>
      </c>
      <c r="H209" s="10">
        <f t="shared" ref="H209:H234" si="15">E209/$E$172-100%</f>
        <v>-5.1428571428571379E-2</v>
      </c>
      <c r="I209" s="14"/>
      <c r="J209" s="14" t="s">
        <v>262</v>
      </c>
      <c r="K209" s="14">
        <v>1692</v>
      </c>
      <c r="L209" s="14">
        <v>1777</v>
      </c>
      <c r="M209" s="14">
        <v>2201</v>
      </c>
      <c r="N209" s="14">
        <v>2912</v>
      </c>
      <c r="O209" s="14">
        <v>3514</v>
      </c>
      <c r="P209" s="20"/>
      <c r="Q209" s="14" t="s">
        <v>262</v>
      </c>
      <c r="R209" s="14">
        <v>2152</v>
      </c>
      <c r="S209" s="14">
        <v>2306</v>
      </c>
      <c r="T209" s="14">
        <v>2766</v>
      </c>
      <c r="U209" s="14">
        <v>3198</v>
      </c>
      <c r="V209" s="14">
        <v>3566</v>
      </c>
      <c r="W209" s="23">
        <v>3936</v>
      </c>
    </row>
    <row r="210" spans="2:23">
      <c r="B210" s="19" t="s">
        <v>263</v>
      </c>
      <c r="C210" s="2">
        <v>360075</v>
      </c>
      <c r="D210" s="2">
        <v>415163</v>
      </c>
      <c r="E210" s="9">
        <v>500800</v>
      </c>
      <c r="F210" s="2">
        <v>641024</v>
      </c>
      <c r="G210" s="2">
        <v>714141</v>
      </c>
      <c r="H210" s="10">
        <f t="shared" si="15"/>
        <v>-0.10571428571428576</v>
      </c>
      <c r="I210" s="14"/>
      <c r="J210" s="14" t="s">
        <v>263</v>
      </c>
      <c r="K210" s="14">
        <v>1748</v>
      </c>
      <c r="L210" s="14">
        <v>1832</v>
      </c>
      <c r="M210" s="14">
        <v>2255</v>
      </c>
      <c r="N210" s="14">
        <v>3002</v>
      </c>
      <c r="O210" s="14">
        <v>3460</v>
      </c>
      <c r="P210" s="20"/>
      <c r="Q210" s="14" t="s">
        <v>263</v>
      </c>
      <c r="R210" s="14">
        <v>2300</v>
      </c>
      <c r="S210" s="14">
        <v>2464</v>
      </c>
      <c r="T210" s="14">
        <v>2956</v>
      </c>
      <c r="U210" s="14">
        <v>3416</v>
      </c>
      <c r="V210" s="14">
        <v>3812</v>
      </c>
      <c r="W210" s="23">
        <v>4206</v>
      </c>
    </row>
    <row r="211" spans="2:23">
      <c r="B211" s="19" t="s">
        <v>264</v>
      </c>
      <c r="C211" s="2">
        <v>402640</v>
      </c>
      <c r="D211" s="2">
        <v>464240</v>
      </c>
      <c r="E211" s="9">
        <v>560000</v>
      </c>
      <c r="F211" s="2">
        <v>716800</v>
      </c>
      <c r="G211" s="2">
        <v>798560</v>
      </c>
      <c r="H211" s="10">
        <f t="shared" si="15"/>
        <v>0</v>
      </c>
      <c r="I211" s="14"/>
      <c r="J211" s="14" t="s">
        <v>264</v>
      </c>
      <c r="K211" s="14">
        <v>2205</v>
      </c>
      <c r="L211" s="14">
        <v>2212</v>
      </c>
      <c r="M211" s="14">
        <v>2902</v>
      </c>
      <c r="N211" s="14">
        <v>3944</v>
      </c>
      <c r="O211" s="14">
        <v>4190</v>
      </c>
      <c r="P211" s="20"/>
      <c r="Q211" s="14" t="s">
        <v>264</v>
      </c>
      <c r="R211" s="14">
        <v>2572</v>
      </c>
      <c r="S211" s="14">
        <v>2754</v>
      </c>
      <c r="T211" s="14">
        <v>3306</v>
      </c>
      <c r="U211" s="14">
        <v>3820</v>
      </c>
      <c r="V211" s="14">
        <v>4262</v>
      </c>
      <c r="W211" s="23">
        <v>4702</v>
      </c>
    </row>
    <row r="212" spans="2:23">
      <c r="B212" s="19" t="s">
        <v>265</v>
      </c>
      <c r="C212" s="2">
        <v>381933</v>
      </c>
      <c r="D212" s="2">
        <v>440365</v>
      </c>
      <c r="E212" s="9">
        <v>531200</v>
      </c>
      <c r="F212" s="2">
        <v>679936</v>
      </c>
      <c r="G212" s="2">
        <v>757491</v>
      </c>
      <c r="H212" s="10">
        <f t="shared" si="15"/>
        <v>-5.1428571428571379E-2</v>
      </c>
      <c r="I212" s="14"/>
      <c r="J212" s="14" t="s">
        <v>265</v>
      </c>
      <c r="K212" s="14">
        <v>1692</v>
      </c>
      <c r="L212" s="14">
        <v>1777</v>
      </c>
      <c r="M212" s="14">
        <v>2201</v>
      </c>
      <c r="N212" s="14">
        <v>2912</v>
      </c>
      <c r="O212" s="14">
        <v>3514</v>
      </c>
      <c r="P212" s="20"/>
      <c r="Q212" s="14" t="s">
        <v>265</v>
      </c>
      <c r="R212" s="14">
        <v>2152</v>
      </c>
      <c r="S212" s="14">
        <v>2306</v>
      </c>
      <c r="T212" s="14">
        <v>2766</v>
      </c>
      <c r="U212" s="14">
        <v>3198</v>
      </c>
      <c r="V212" s="14">
        <v>3566</v>
      </c>
      <c r="W212" s="23">
        <v>3936</v>
      </c>
    </row>
    <row r="213" spans="2:23">
      <c r="B213" s="19" t="s">
        <v>266</v>
      </c>
      <c r="C213" s="2">
        <v>392286</v>
      </c>
      <c r="D213" s="2">
        <v>452302</v>
      </c>
      <c r="E213" s="9">
        <v>545600</v>
      </c>
      <c r="F213" s="2">
        <v>698368</v>
      </c>
      <c r="G213" s="2">
        <v>778026</v>
      </c>
      <c r="H213" s="10">
        <f t="shared" si="15"/>
        <v>-2.571428571428569E-2</v>
      </c>
      <c r="I213" s="14"/>
      <c r="J213" s="14" t="s">
        <v>266</v>
      </c>
      <c r="K213" s="14">
        <v>2288</v>
      </c>
      <c r="L213" s="14">
        <v>2459</v>
      </c>
      <c r="M213" s="14">
        <v>3001</v>
      </c>
      <c r="N213" s="14">
        <v>3998</v>
      </c>
      <c r="O213" s="14">
        <v>4845</v>
      </c>
      <c r="P213" s="20"/>
      <c r="Q213" s="14" t="s">
        <v>266</v>
      </c>
      <c r="R213" s="14">
        <v>3062</v>
      </c>
      <c r="S213" s="14">
        <v>3280</v>
      </c>
      <c r="T213" s="14">
        <v>3936</v>
      </c>
      <c r="U213" s="14">
        <v>4546</v>
      </c>
      <c r="V213" s="14">
        <v>5072</v>
      </c>
      <c r="W213" s="23">
        <v>5596</v>
      </c>
    </row>
    <row r="214" spans="2:23">
      <c r="B214" s="19" t="s">
        <v>267</v>
      </c>
      <c r="C214" s="2">
        <v>694266</v>
      </c>
      <c r="D214" s="2">
        <v>800482</v>
      </c>
      <c r="E214" s="9">
        <v>965600</v>
      </c>
      <c r="F214" s="2">
        <v>1235968</v>
      </c>
      <c r="G214" s="2">
        <v>1376946</v>
      </c>
      <c r="H214" s="10">
        <f t="shared" si="15"/>
        <v>0.7242857142857142</v>
      </c>
      <c r="I214" s="14"/>
      <c r="J214" s="14" t="s">
        <v>267</v>
      </c>
      <c r="K214" s="14">
        <v>2485</v>
      </c>
      <c r="L214" s="14">
        <v>2977</v>
      </c>
      <c r="M214" s="14">
        <v>3604</v>
      </c>
      <c r="N214" s="14">
        <v>4604</v>
      </c>
      <c r="O214" s="14">
        <v>4772</v>
      </c>
      <c r="P214" s="20"/>
      <c r="Q214" s="14" t="s">
        <v>267</v>
      </c>
      <c r="R214" s="14">
        <v>3676</v>
      </c>
      <c r="S214" s="14">
        <v>3940</v>
      </c>
      <c r="T214" s="14">
        <v>4726</v>
      </c>
      <c r="U214" s="14">
        <v>5462</v>
      </c>
      <c r="V214" s="14">
        <v>6094</v>
      </c>
      <c r="W214" s="23">
        <v>6724</v>
      </c>
    </row>
    <row r="215" spans="2:23">
      <c r="B215" s="19" t="s">
        <v>268</v>
      </c>
      <c r="C215" s="2">
        <v>323262</v>
      </c>
      <c r="D215" s="2">
        <v>372718</v>
      </c>
      <c r="E215" s="9">
        <v>449600</v>
      </c>
      <c r="F215" s="2">
        <v>575488</v>
      </c>
      <c r="G215" s="2">
        <v>641130</v>
      </c>
      <c r="H215" s="10">
        <f t="shared" si="15"/>
        <v>-0.19714285714285718</v>
      </c>
      <c r="I215" s="14"/>
      <c r="J215" s="14" t="s">
        <v>268</v>
      </c>
      <c r="K215" s="14">
        <v>1288</v>
      </c>
      <c r="L215" s="14">
        <v>1395</v>
      </c>
      <c r="M215" s="14">
        <v>1742</v>
      </c>
      <c r="N215" s="14">
        <v>2423</v>
      </c>
      <c r="O215" s="14">
        <v>2922</v>
      </c>
      <c r="P215" s="20"/>
      <c r="Q215" s="14" t="s">
        <v>268</v>
      </c>
      <c r="R215" s="14">
        <v>1892</v>
      </c>
      <c r="S215" s="14">
        <v>2026</v>
      </c>
      <c r="T215" s="14">
        <v>2432</v>
      </c>
      <c r="U215" s="14">
        <v>2810</v>
      </c>
      <c r="V215" s="14">
        <v>3134</v>
      </c>
      <c r="W215" s="23">
        <v>3460</v>
      </c>
    </row>
    <row r="216" spans="2:23">
      <c r="B216" s="19" t="s">
        <v>269</v>
      </c>
      <c r="C216" s="2">
        <v>442904</v>
      </c>
      <c r="D216" s="2">
        <v>510664</v>
      </c>
      <c r="E216" s="9">
        <v>616000</v>
      </c>
      <c r="F216" s="2">
        <v>788480</v>
      </c>
      <c r="G216" s="2">
        <v>878416</v>
      </c>
      <c r="H216" s="10">
        <f t="shared" si="15"/>
        <v>0.10000000000000009</v>
      </c>
      <c r="I216" s="14"/>
      <c r="J216" s="14" t="s">
        <v>269</v>
      </c>
      <c r="K216" s="14">
        <v>1842</v>
      </c>
      <c r="L216" s="14">
        <v>2036</v>
      </c>
      <c r="M216" s="14">
        <v>2671</v>
      </c>
      <c r="N216" s="14">
        <v>3584</v>
      </c>
      <c r="O216" s="14">
        <v>4105</v>
      </c>
      <c r="P216" s="20"/>
      <c r="Q216" s="14" t="s">
        <v>269</v>
      </c>
      <c r="R216" s="14">
        <v>2674</v>
      </c>
      <c r="S216" s="14">
        <v>2866</v>
      </c>
      <c r="T216" s="14">
        <v>3440</v>
      </c>
      <c r="U216" s="14">
        <v>3974</v>
      </c>
      <c r="V216" s="14">
        <v>4434</v>
      </c>
      <c r="W216" s="23">
        <v>4892</v>
      </c>
    </row>
    <row r="217" spans="2:23">
      <c r="B217" s="19" t="s">
        <v>270</v>
      </c>
      <c r="C217" s="2">
        <v>532060</v>
      </c>
      <c r="D217" s="2">
        <v>613460</v>
      </c>
      <c r="E217" s="9">
        <v>740000</v>
      </c>
      <c r="F217" s="2">
        <v>947200</v>
      </c>
      <c r="G217" s="2">
        <v>1055240</v>
      </c>
      <c r="H217" s="10">
        <f t="shared" si="15"/>
        <v>0.3214285714285714</v>
      </c>
      <c r="I217" s="14"/>
      <c r="J217" s="14" t="s">
        <v>270</v>
      </c>
      <c r="K217" s="14">
        <v>2485</v>
      </c>
      <c r="L217" s="14">
        <v>2977</v>
      </c>
      <c r="M217" s="14">
        <v>3604</v>
      </c>
      <c r="N217" s="14">
        <v>4604</v>
      </c>
      <c r="O217" s="14">
        <v>4772</v>
      </c>
      <c r="P217" s="20"/>
      <c r="Q217" s="14" t="s">
        <v>270</v>
      </c>
      <c r="R217" s="14">
        <v>3676</v>
      </c>
      <c r="S217" s="14">
        <v>3940</v>
      </c>
      <c r="T217" s="14">
        <v>4726</v>
      </c>
      <c r="U217" s="14">
        <v>5462</v>
      </c>
      <c r="V217" s="14">
        <v>6094</v>
      </c>
      <c r="W217" s="23">
        <v>6724</v>
      </c>
    </row>
    <row r="218" spans="2:23">
      <c r="B218" s="19" t="s">
        <v>271</v>
      </c>
      <c r="C218" s="2">
        <v>442904</v>
      </c>
      <c r="D218" s="2">
        <v>510664</v>
      </c>
      <c r="E218" s="9">
        <v>616000</v>
      </c>
      <c r="F218" s="2">
        <v>788480</v>
      </c>
      <c r="G218" s="2">
        <v>878416</v>
      </c>
      <c r="H218" s="10">
        <f t="shared" si="15"/>
        <v>0.10000000000000009</v>
      </c>
      <c r="I218" s="14"/>
      <c r="J218" s="14" t="s">
        <v>271</v>
      </c>
      <c r="K218" s="14">
        <v>2459</v>
      </c>
      <c r="L218" s="14">
        <v>2746</v>
      </c>
      <c r="M218" s="14">
        <v>3124</v>
      </c>
      <c r="N218" s="14">
        <v>4075</v>
      </c>
      <c r="O218" s="14">
        <v>4647</v>
      </c>
      <c r="P218" s="20"/>
      <c r="Q218" s="14" t="s">
        <v>271</v>
      </c>
      <c r="R218" s="14">
        <v>3186</v>
      </c>
      <c r="S218" s="14">
        <v>3414</v>
      </c>
      <c r="T218" s="14">
        <v>4096</v>
      </c>
      <c r="U218" s="14">
        <v>4734</v>
      </c>
      <c r="V218" s="14">
        <v>5282</v>
      </c>
      <c r="W218" s="23">
        <v>5828</v>
      </c>
    </row>
    <row r="219" spans="2:23">
      <c r="B219" s="19" t="s">
        <v>272</v>
      </c>
      <c r="C219" s="2">
        <v>532060</v>
      </c>
      <c r="D219" s="2">
        <v>613460</v>
      </c>
      <c r="E219" s="9">
        <v>740000</v>
      </c>
      <c r="F219" s="2">
        <v>947200</v>
      </c>
      <c r="G219" s="2">
        <v>1055240</v>
      </c>
      <c r="H219" s="10">
        <f t="shared" si="15"/>
        <v>0.3214285714285714</v>
      </c>
      <c r="I219" s="14"/>
      <c r="J219" s="14" t="s">
        <v>272</v>
      </c>
      <c r="K219" s="14">
        <v>2621</v>
      </c>
      <c r="L219" s="14">
        <v>2982</v>
      </c>
      <c r="M219" s="14">
        <v>3483</v>
      </c>
      <c r="N219" s="14">
        <v>4602</v>
      </c>
      <c r="O219" s="14">
        <v>5010</v>
      </c>
      <c r="P219" s="20"/>
      <c r="Q219" s="14" t="s">
        <v>272</v>
      </c>
      <c r="R219" s="14">
        <v>3596</v>
      </c>
      <c r="S219" s="14">
        <v>3852</v>
      </c>
      <c r="T219" s="14">
        <v>4624</v>
      </c>
      <c r="U219" s="14">
        <v>5342</v>
      </c>
      <c r="V219" s="14">
        <v>5960</v>
      </c>
      <c r="W219" s="23">
        <v>6576</v>
      </c>
    </row>
    <row r="220" spans="2:23">
      <c r="B220" s="19" t="s">
        <v>273</v>
      </c>
      <c r="C220" s="2">
        <v>442904</v>
      </c>
      <c r="D220" s="2">
        <v>510664</v>
      </c>
      <c r="E220" s="9">
        <v>616000</v>
      </c>
      <c r="F220" s="2">
        <v>788480</v>
      </c>
      <c r="G220" s="2">
        <v>878416</v>
      </c>
      <c r="H220" s="10">
        <f t="shared" si="15"/>
        <v>0.10000000000000009</v>
      </c>
      <c r="I220" s="14"/>
      <c r="J220" s="14" t="s">
        <v>273</v>
      </c>
      <c r="K220" s="14">
        <v>3179</v>
      </c>
      <c r="L220" s="14">
        <v>3298</v>
      </c>
      <c r="M220" s="14">
        <v>4214</v>
      </c>
      <c r="N220" s="14">
        <v>5377</v>
      </c>
      <c r="O220" s="14">
        <v>5659</v>
      </c>
      <c r="P220" s="20"/>
      <c r="Q220" s="14" t="s">
        <v>273</v>
      </c>
      <c r="R220" s="14">
        <v>3806</v>
      </c>
      <c r="S220" s="14">
        <v>4078</v>
      </c>
      <c r="T220" s="14">
        <v>4894</v>
      </c>
      <c r="U220" s="14">
        <v>5654</v>
      </c>
      <c r="V220" s="14">
        <v>6306</v>
      </c>
      <c r="W220" s="23">
        <v>6960</v>
      </c>
    </row>
    <row r="221" spans="2:23">
      <c r="B221" s="19" t="s">
        <v>274</v>
      </c>
      <c r="C221" s="2">
        <v>369278</v>
      </c>
      <c r="D221" s="2">
        <v>425774</v>
      </c>
      <c r="E221" s="9">
        <v>513600</v>
      </c>
      <c r="F221" s="2">
        <v>657408</v>
      </c>
      <c r="G221" s="2">
        <v>732394</v>
      </c>
      <c r="H221" s="10">
        <f t="shared" si="15"/>
        <v>-8.2857142857142851E-2</v>
      </c>
      <c r="I221" s="14"/>
      <c r="J221" s="14" t="s">
        <v>274</v>
      </c>
      <c r="K221" s="14">
        <v>1172</v>
      </c>
      <c r="L221" s="14">
        <v>1212</v>
      </c>
      <c r="M221" s="14">
        <v>1590</v>
      </c>
      <c r="N221" s="14">
        <v>2211</v>
      </c>
      <c r="O221" s="14">
        <v>2667</v>
      </c>
      <c r="P221" s="20"/>
      <c r="Q221" s="14" t="s">
        <v>274</v>
      </c>
      <c r="R221" s="14">
        <v>1700</v>
      </c>
      <c r="S221" s="14">
        <v>1820</v>
      </c>
      <c r="T221" s="14">
        <v>2184</v>
      </c>
      <c r="U221" s="14">
        <v>2524</v>
      </c>
      <c r="V221" s="14">
        <v>2816</v>
      </c>
      <c r="W221" s="23">
        <v>3108</v>
      </c>
    </row>
    <row r="222" spans="2:23">
      <c r="B222" s="19" t="s">
        <v>275</v>
      </c>
      <c r="C222" s="2">
        <v>402640</v>
      </c>
      <c r="D222" s="2">
        <v>464240</v>
      </c>
      <c r="E222" s="9">
        <v>560000</v>
      </c>
      <c r="F222" s="2">
        <v>716800</v>
      </c>
      <c r="G222" s="2">
        <v>798560</v>
      </c>
      <c r="H222" s="10">
        <f t="shared" si="15"/>
        <v>0</v>
      </c>
      <c r="I222" s="14"/>
      <c r="J222" s="14" t="s">
        <v>275</v>
      </c>
      <c r="K222" s="14">
        <v>1068</v>
      </c>
      <c r="L222" s="14">
        <v>1165</v>
      </c>
      <c r="M222" s="14">
        <v>1529</v>
      </c>
      <c r="N222" s="14">
        <v>2126</v>
      </c>
      <c r="O222" s="14">
        <v>2527</v>
      </c>
      <c r="P222" s="20"/>
      <c r="Q222" s="14" t="s">
        <v>275</v>
      </c>
      <c r="R222" s="14">
        <v>1700</v>
      </c>
      <c r="S222" s="14">
        <v>1820</v>
      </c>
      <c r="T222" s="14">
        <v>2184</v>
      </c>
      <c r="U222" s="14">
        <v>2524</v>
      </c>
      <c r="V222" s="14">
        <v>2816</v>
      </c>
      <c r="W222" s="23">
        <v>3108</v>
      </c>
    </row>
    <row r="223" spans="2:23">
      <c r="B223" s="19" t="s">
        <v>276</v>
      </c>
      <c r="C223" s="2">
        <v>402640</v>
      </c>
      <c r="D223" s="2">
        <v>464240</v>
      </c>
      <c r="E223" s="9">
        <v>560000</v>
      </c>
      <c r="F223" s="2">
        <v>716800</v>
      </c>
      <c r="G223" s="2">
        <v>798560</v>
      </c>
      <c r="H223" s="10">
        <f t="shared" si="15"/>
        <v>0</v>
      </c>
      <c r="I223" s="14"/>
      <c r="J223" s="14" t="s">
        <v>276</v>
      </c>
      <c r="K223" s="14">
        <v>962</v>
      </c>
      <c r="L223" s="14">
        <v>969</v>
      </c>
      <c r="M223" s="14">
        <v>1249</v>
      </c>
      <c r="N223" s="14">
        <v>1737</v>
      </c>
      <c r="O223" s="14">
        <v>1915</v>
      </c>
      <c r="P223" s="20"/>
      <c r="Q223" s="14" t="s">
        <v>276</v>
      </c>
      <c r="R223" s="14">
        <v>1700</v>
      </c>
      <c r="S223" s="14">
        <v>1820</v>
      </c>
      <c r="T223" s="14">
        <v>2184</v>
      </c>
      <c r="U223" s="14">
        <v>2524</v>
      </c>
      <c r="V223" s="14">
        <v>2816</v>
      </c>
      <c r="W223" s="23">
        <v>3108</v>
      </c>
    </row>
    <row r="224" spans="2:23">
      <c r="B224" s="19" t="s">
        <v>277</v>
      </c>
      <c r="C224" s="2">
        <v>406666</v>
      </c>
      <c r="D224" s="2">
        <v>468882</v>
      </c>
      <c r="E224" s="9">
        <v>565600</v>
      </c>
      <c r="F224" s="2">
        <v>723968</v>
      </c>
      <c r="G224" s="2">
        <v>806546</v>
      </c>
      <c r="H224" s="10">
        <f t="shared" si="15"/>
        <v>1.0000000000000009E-2</v>
      </c>
      <c r="I224" s="14"/>
      <c r="J224" s="14" t="s">
        <v>277</v>
      </c>
      <c r="K224" s="14">
        <v>1567</v>
      </c>
      <c r="L224" s="14">
        <v>1705</v>
      </c>
      <c r="M224" s="14">
        <v>2178</v>
      </c>
      <c r="N224" s="14">
        <v>2911</v>
      </c>
      <c r="O224" s="14">
        <v>3297</v>
      </c>
      <c r="P224" s="20"/>
      <c r="Q224" s="14" t="s">
        <v>277</v>
      </c>
      <c r="R224" s="14">
        <v>2286</v>
      </c>
      <c r="S224" s="14">
        <v>2450</v>
      </c>
      <c r="T224" s="14">
        <v>2940</v>
      </c>
      <c r="U224" s="14">
        <v>3396</v>
      </c>
      <c r="V224" s="14">
        <v>3786</v>
      </c>
      <c r="W224" s="23">
        <v>4180</v>
      </c>
    </row>
    <row r="225" spans="2:23">
      <c r="B225" s="19" t="s">
        <v>278</v>
      </c>
      <c r="C225" s="2">
        <v>406666</v>
      </c>
      <c r="D225" s="2">
        <v>468882</v>
      </c>
      <c r="E225" s="9">
        <v>565600</v>
      </c>
      <c r="F225" s="2">
        <v>723968</v>
      </c>
      <c r="G225" s="2">
        <v>806546</v>
      </c>
      <c r="H225" s="10">
        <f t="shared" si="15"/>
        <v>1.0000000000000009E-2</v>
      </c>
      <c r="I225" s="14"/>
      <c r="J225" s="14" t="s">
        <v>278</v>
      </c>
      <c r="K225" s="14">
        <v>1949</v>
      </c>
      <c r="L225" s="14">
        <v>2155</v>
      </c>
      <c r="M225" s="14">
        <v>2827</v>
      </c>
      <c r="N225" s="14">
        <v>3887</v>
      </c>
      <c r="O225" s="14">
        <v>4147</v>
      </c>
      <c r="P225" s="20"/>
      <c r="Q225" s="14" t="s">
        <v>278</v>
      </c>
      <c r="R225" s="14">
        <v>2884</v>
      </c>
      <c r="S225" s="14">
        <v>3090</v>
      </c>
      <c r="T225" s="14">
        <v>3710</v>
      </c>
      <c r="U225" s="14">
        <v>4284</v>
      </c>
      <c r="V225" s="14">
        <v>4780</v>
      </c>
      <c r="W225" s="23">
        <v>5274</v>
      </c>
    </row>
    <row r="226" spans="2:23">
      <c r="B226" s="19" t="s">
        <v>279</v>
      </c>
      <c r="C226" s="2">
        <v>323262</v>
      </c>
      <c r="D226" s="2">
        <v>372718</v>
      </c>
      <c r="E226" s="9">
        <v>449600</v>
      </c>
      <c r="F226" s="2">
        <v>575488</v>
      </c>
      <c r="G226" s="2">
        <v>641130</v>
      </c>
      <c r="H226" s="10">
        <f t="shared" si="15"/>
        <v>-0.19714285714285718</v>
      </c>
      <c r="I226" s="14"/>
      <c r="J226" s="14" t="s">
        <v>279</v>
      </c>
      <c r="K226" s="14">
        <v>1255</v>
      </c>
      <c r="L226" s="14">
        <v>1356</v>
      </c>
      <c r="M226" s="14">
        <v>1758</v>
      </c>
      <c r="N226" s="14">
        <v>2442</v>
      </c>
      <c r="O226" s="14">
        <v>2823</v>
      </c>
      <c r="P226" s="20"/>
      <c r="Q226" s="14" t="s">
        <v>279</v>
      </c>
      <c r="R226" s="14">
        <v>1794</v>
      </c>
      <c r="S226" s="14">
        <v>1922</v>
      </c>
      <c r="T226" s="14">
        <v>2306</v>
      </c>
      <c r="U226" s="14">
        <v>2664</v>
      </c>
      <c r="V226" s="14">
        <v>2972</v>
      </c>
      <c r="W226" s="23">
        <v>3280</v>
      </c>
    </row>
    <row r="227" spans="2:23">
      <c r="B227" s="19" t="s">
        <v>280</v>
      </c>
      <c r="C227" s="2">
        <v>360075</v>
      </c>
      <c r="D227" s="2">
        <v>415163</v>
      </c>
      <c r="E227" s="9">
        <v>500800</v>
      </c>
      <c r="F227" s="2">
        <v>641024</v>
      </c>
      <c r="G227" s="2">
        <v>714141</v>
      </c>
      <c r="H227" s="10">
        <f t="shared" si="15"/>
        <v>-0.10571428571428576</v>
      </c>
      <c r="I227" s="14"/>
      <c r="J227" s="14" t="s">
        <v>280</v>
      </c>
      <c r="K227" s="14">
        <v>1166</v>
      </c>
      <c r="L227" s="14">
        <v>1272</v>
      </c>
      <c r="M227" s="14">
        <v>1550</v>
      </c>
      <c r="N227" s="14">
        <v>2156</v>
      </c>
      <c r="O227" s="14">
        <v>2600</v>
      </c>
      <c r="P227" s="20"/>
      <c r="Q227" s="14" t="s">
        <v>280</v>
      </c>
      <c r="R227" s="14">
        <v>1784</v>
      </c>
      <c r="S227" s="14">
        <v>1912</v>
      </c>
      <c r="T227" s="14">
        <v>2294</v>
      </c>
      <c r="U227" s="14">
        <v>2650</v>
      </c>
      <c r="V227" s="14">
        <v>2956</v>
      </c>
      <c r="W227" s="23">
        <v>3262</v>
      </c>
    </row>
    <row r="228" spans="2:23">
      <c r="B228" s="19" t="s">
        <v>281</v>
      </c>
      <c r="C228" s="2">
        <v>402640</v>
      </c>
      <c r="D228" s="2">
        <v>464240</v>
      </c>
      <c r="E228" s="9">
        <v>560000</v>
      </c>
      <c r="F228" s="2">
        <v>716800</v>
      </c>
      <c r="G228" s="2">
        <v>798560</v>
      </c>
      <c r="H228" s="10">
        <f t="shared" si="15"/>
        <v>0</v>
      </c>
      <c r="I228" s="14"/>
      <c r="J228" s="14" t="s">
        <v>281</v>
      </c>
      <c r="K228" s="14">
        <v>952</v>
      </c>
      <c r="L228" s="14">
        <v>1038</v>
      </c>
      <c r="M228" s="14">
        <v>1362</v>
      </c>
      <c r="N228" s="14">
        <v>1865</v>
      </c>
      <c r="O228" s="14">
        <v>2285</v>
      </c>
      <c r="P228" s="20"/>
      <c r="Q228" s="14" t="s">
        <v>281</v>
      </c>
      <c r="R228" s="14">
        <v>1700</v>
      </c>
      <c r="S228" s="14">
        <v>1820</v>
      </c>
      <c r="T228" s="14">
        <v>2184</v>
      </c>
      <c r="U228" s="14">
        <v>2524</v>
      </c>
      <c r="V228" s="14">
        <v>2816</v>
      </c>
      <c r="W228" s="23">
        <v>3108</v>
      </c>
    </row>
    <row r="229" spans="2:23">
      <c r="B229" s="19" t="s">
        <v>282</v>
      </c>
      <c r="C229" s="2">
        <v>402640</v>
      </c>
      <c r="D229" s="2">
        <v>464240</v>
      </c>
      <c r="E229" s="9">
        <v>560000</v>
      </c>
      <c r="F229" s="2">
        <v>716800</v>
      </c>
      <c r="G229" s="2">
        <v>798560</v>
      </c>
      <c r="H229" s="10">
        <f t="shared" si="15"/>
        <v>0</v>
      </c>
      <c r="I229" s="14"/>
      <c r="J229" s="14" t="s">
        <v>282</v>
      </c>
      <c r="K229" s="14">
        <v>829</v>
      </c>
      <c r="L229" s="14">
        <v>916</v>
      </c>
      <c r="M229" s="14">
        <v>1202</v>
      </c>
      <c r="N229" s="14">
        <v>1636</v>
      </c>
      <c r="O229" s="14">
        <v>1655</v>
      </c>
      <c r="P229" s="20"/>
      <c r="Q229" s="14" t="s">
        <v>282</v>
      </c>
      <c r="R229" s="14">
        <v>1700</v>
      </c>
      <c r="S229" s="14">
        <v>1820</v>
      </c>
      <c r="T229" s="14">
        <v>2184</v>
      </c>
      <c r="U229" s="14">
        <v>2524</v>
      </c>
      <c r="V229" s="14">
        <v>2816</v>
      </c>
      <c r="W229" s="23">
        <v>3108</v>
      </c>
    </row>
    <row r="230" spans="2:23">
      <c r="B230" s="19" t="s">
        <v>283</v>
      </c>
      <c r="C230" s="2">
        <v>323262</v>
      </c>
      <c r="D230" s="2">
        <v>372718</v>
      </c>
      <c r="E230" s="9">
        <v>449600</v>
      </c>
      <c r="F230" s="2">
        <v>575488</v>
      </c>
      <c r="G230" s="2">
        <v>641130</v>
      </c>
      <c r="H230" s="10">
        <f t="shared" si="15"/>
        <v>-0.19714285714285718</v>
      </c>
      <c r="I230" s="14"/>
      <c r="J230" s="14" t="s">
        <v>283</v>
      </c>
      <c r="K230" s="14">
        <v>1116</v>
      </c>
      <c r="L230" s="14">
        <v>1123</v>
      </c>
      <c r="M230" s="14">
        <v>1474</v>
      </c>
      <c r="N230" s="14">
        <v>2028</v>
      </c>
      <c r="O230" s="14">
        <v>2393</v>
      </c>
      <c r="P230" s="20"/>
      <c r="Q230" s="14" t="s">
        <v>283</v>
      </c>
      <c r="R230" s="14">
        <v>1700</v>
      </c>
      <c r="S230" s="14">
        <v>1820</v>
      </c>
      <c r="T230" s="14">
        <v>2184</v>
      </c>
      <c r="U230" s="14">
        <v>2524</v>
      </c>
      <c r="V230" s="14">
        <v>2816</v>
      </c>
      <c r="W230" s="23">
        <v>3108</v>
      </c>
    </row>
    <row r="231" spans="2:23">
      <c r="B231" s="19" t="s">
        <v>284</v>
      </c>
      <c r="C231" s="2">
        <v>402640</v>
      </c>
      <c r="D231" s="2">
        <v>464240</v>
      </c>
      <c r="E231" s="9">
        <v>560000</v>
      </c>
      <c r="F231" s="2">
        <v>716800</v>
      </c>
      <c r="G231" s="2">
        <v>798560</v>
      </c>
      <c r="H231" s="10">
        <f t="shared" si="15"/>
        <v>0</v>
      </c>
      <c r="I231" s="14"/>
      <c r="J231" s="14" t="s">
        <v>284</v>
      </c>
      <c r="K231" s="14">
        <v>1096</v>
      </c>
      <c r="L231" s="14">
        <v>1257</v>
      </c>
      <c r="M231" s="14">
        <v>1589</v>
      </c>
      <c r="N231" s="14">
        <v>2078</v>
      </c>
      <c r="O231" s="14">
        <v>2666</v>
      </c>
      <c r="P231" s="20"/>
      <c r="Q231" s="14" t="s">
        <v>284</v>
      </c>
      <c r="R231" s="14">
        <v>1790</v>
      </c>
      <c r="S231" s="14">
        <v>1916</v>
      </c>
      <c r="T231" s="14">
        <v>2300</v>
      </c>
      <c r="U231" s="14">
        <v>2656</v>
      </c>
      <c r="V231" s="14">
        <v>2964</v>
      </c>
      <c r="W231" s="23">
        <v>3272</v>
      </c>
    </row>
    <row r="232" spans="2:23">
      <c r="B232" s="19" t="s">
        <v>285</v>
      </c>
      <c r="C232" s="2">
        <v>442904</v>
      </c>
      <c r="D232" s="2">
        <v>510664</v>
      </c>
      <c r="E232" s="9">
        <v>616000</v>
      </c>
      <c r="F232" s="2">
        <v>788480</v>
      </c>
      <c r="G232" s="2">
        <v>878416</v>
      </c>
      <c r="H232" s="10">
        <f t="shared" si="15"/>
        <v>0.10000000000000009</v>
      </c>
      <c r="I232" s="14"/>
      <c r="J232" s="14" t="s">
        <v>285</v>
      </c>
      <c r="K232" s="14">
        <v>1998</v>
      </c>
      <c r="L232" s="14">
        <v>2250</v>
      </c>
      <c r="M232" s="14">
        <v>2693</v>
      </c>
      <c r="N232" s="14">
        <v>3652</v>
      </c>
      <c r="O232" s="14">
        <v>4240</v>
      </c>
      <c r="P232" s="20"/>
      <c r="Q232" s="14" t="s">
        <v>285</v>
      </c>
      <c r="R232" s="14">
        <v>2746</v>
      </c>
      <c r="S232" s="14">
        <v>2942</v>
      </c>
      <c r="T232" s="14">
        <v>3532</v>
      </c>
      <c r="U232" s="14">
        <v>4082</v>
      </c>
      <c r="V232" s="14">
        <v>4554</v>
      </c>
      <c r="W232" s="23">
        <v>5024</v>
      </c>
    </row>
    <row r="233" spans="2:23">
      <c r="B233" s="19" t="s">
        <v>286</v>
      </c>
      <c r="C233" s="2">
        <v>360075</v>
      </c>
      <c r="D233" s="2">
        <v>415163</v>
      </c>
      <c r="E233" s="9">
        <v>500800</v>
      </c>
      <c r="F233" s="2">
        <v>641024</v>
      </c>
      <c r="G233" s="2">
        <v>714141</v>
      </c>
      <c r="H233" s="10">
        <f t="shared" si="15"/>
        <v>-0.10571428571428576</v>
      </c>
      <c r="I233" s="14"/>
      <c r="J233" s="14" t="s">
        <v>286</v>
      </c>
      <c r="K233" s="14">
        <v>1604</v>
      </c>
      <c r="L233" s="14">
        <v>1615</v>
      </c>
      <c r="M233" s="14">
        <v>2104</v>
      </c>
      <c r="N233" s="14">
        <v>2917</v>
      </c>
      <c r="O233" s="14">
        <v>3178</v>
      </c>
      <c r="P233" s="20"/>
      <c r="Q233" s="14" t="s">
        <v>286</v>
      </c>
      <c r="R233" s="14">
        <v>2270</v>
      </c>
      <c r="S233" s="14">
        <v>2430</v>
      </c>
      <c r="T233" s="14">
        <v>2916</v>
      </c>
      <c r="U233" s="14">
        <v>3370</v>
      </c>
      <c r="V233" s="14">
        <v>3760</v>
      </c>
      <c r="W233" s="23">
        <v>4148</v>
      </c>
    </row>
    <row r="234" spans="2:23" ht="16.3" thickBot="1">
      <c r="B234" s="19" t="s">
        <v>287</v>
      </c>
      <c r="C234" s="2">
        <v>360075</v>
      </c>
      <c r="D234" s="2">
        <v>415163</v>
      </c>
      <c r="E234" s="11">
        <v>500800</v>
      </c>
      <c r="F234" s="2">
        <v>641024</v>
      </c>
      <c r="G234" s="2">
        <v>714141</v>
      </c>
      <c r="H234" s="12">
        <f t="shared" si="15"/>
        <v>-0.10571428571428576</v>
      </c>
      <c r="I234" s="14"/>
      <c r="J234" s="14" t="s">
        <v>287</v>
      </c>
      <c r="K234" s="14">
        <v>1166</v>
      </c>
      <c r="L234" s="14">
        <v>1272</v>
      </c>
      <c r="M234" s="14">
        <v>1550</v>
      </c>
      <c r="N234" s="14">
        <v>2156</v>
      </c>
      <c r="O234" s="14">
        <v>2600</v>
      </c>
      <c r="P234" s="20"/>
      <c r="Q234" s="14" t="s">
        <v>287</v>
      </c>
      <c r="R234" s="14">
        <v>1784</v>
      </c>
      <c r="S234" s="14">
        <v>1912</v>
      </c>
      <c r="T234" s="14">
        <v>2294</v>
      </c>
      <c r="U234" s="14">
        <v>2650</v>
      </c>
      <c r="V234" s="14">
        <v>2956</v>
      </c>
      <c r="W234" s="23">
        <v>3262</v>
      </c>
    </row>
    <row r="235" spans="2:23">
      <c r="B235" s="19" t="s">
        <v>288</v>
      </c>
      <c r="C235" s="2">
        <f>SUM(C177:C234)</f>
        <v>23303071</v>
      </c>
      <c r="D235" s="2"/>
      <c r="E235" s="3"/>
      <c r="F235" s="2"/>
      <c r="G235" s="2"/>
      <c r="H235" s="14"/>
      <c r="I235" s="14"/>
      <c r="J235" s="14"/>
      <c r="K235" s="14"/>
      <c r="L235" s="14"/>
      <c r="M235" s="14"/>
      <c r="N235" s="14"/>
      <c r="O235" s="14"/>
      <c r="P235" s="20"/>
      <c r="Q235" s="20"/>
      <c r="R235" s="20"/>
      <c r="S235" s="20"/>
      <c r="T235" s="20"/>
      <c r="U235" s="20"/>
      <c r="V235" s="20"/>
      <c r="W235" s="29"/>
    </row>
    <row r="236" spans="2:23" ht="16.3" thickBot="1">
      <c r="B236" s="24"/>
      <c r="C236" s="25"/>
      <c r="D236" s="25"/>
      <c r="E236" s="25"/>
      <c r="F236" s="25"/>
      <c r="G236" s="25"/>
      <c r="H236" s="25"/>
      <c r="I236" s="25"/>
      <c r="J236" s="25"/>
      <c r="K236" s="25"/>
      <c r="L236" s="25"/>
      <c r="M236" s="25"/>
      <c r="N236" s="25"/>
      <c r="O236" s="25"/>
      <c r="P236" s="30"/>
      <c r="Q236" s="30"/>
      <c r="R236" s="30"/>
      <c r="S236" s="30"/>
      <c r="T236" s="30"/>
      <c r="U236" s="30"/>
      <c r="V236" s="30"/>
      <c r="W236" s="31"/>
    </row>
    <row r="237" spans="2:23" ht="16.3" hidden="1" thickBot="1"/>
    <row r="238" spans="2:23" hidden="1">
      <c r="B238" s="69" t="s">
        <v>289</v>
      </c>
      <c r="C238" s="58"/>
    </row>
    <row r="239" spans="2:23" hidden="1">
      <c r="B239" s="19" t="b">
        <v>1</v>
      </c>
      <c r="C239" s="59">
        <v>0.1</v>
      </c>
    </row>
    <row r="240" spans="2:23" hidden="1">
      <c r="B240" s="19" t="b">
        <v>0</v>
      </c>
      <c r="C240" s="59">
        <v>0.15</v>
      </c>
    </row>
    <row r="241" spans="2:3" hidden="1">
      <c r="B241" s="60"/>
      <c r="C241" s="59">
        <v>0.2</v>
      </c>
    </row>
    <row r="242" spans="2:3" hidden="1">
      <c r="B242" s="60" t="s">
        <v>290</v>
      </c>
      <c r="C242" s="59">
        <v>0.25</v>
      </c>
    </row>
    <row r="243" spans="2:3" hidden="1">
      <c r="B243" s="60" t="s">
        <v>291</v>
      </c>
      <c r="C243" s="59">
        <v>0.3</v>
      </c>
    </row>
    <row r="244" spans="2:3" hidden="1">
      <c r="B244" s="60" t="s">
        <v>292</v>
      </c>
      <c r="C244" s="59">
        <v>0.35</v>
      </c>
    </row>
    <row r="245" spans="2:3" hidden="1">
      <c r="B245" s="60" t="s">
        <v>293</v>
      </c>
      <c r="C245" s="59">
        <v>0.4</v>
      </c>
    </row>
    <row r="246" spans="2:3" hidden="1">
      <c r="B246" s="60"/>
      <c r="C246" s="59">
        <v>0.45</v>
      </c>
    </row>
    <row r="247" spans="2:3" hidden="1">
      <c r="B247" s="61">
        <v>0.09</v>
      </c>
      <c r="C247" s="59">
        <v>0.5</v>
      </c>
    </row>
    <row r="248" spans="2:3" hidden="1">
      <c r="B248" s="61">
        <v>0.04</v>
      </c>
      <c r="C248" s="59">
        <v>0.55000000000000004</v>
      </c>
    </row>
    <row r="249" spans="2:3" hidden="1">
      <c r="B249" s="60"/>
      <c r="C249" s="59">
        <v>0.6</v>
      </c>
    </row>
    <row r="250" spans="2:3" hidden="1">
      <c r="B250" s="60"/>
      <c r="C250" s="59">
        <v>0.65</v>
      </c>
    </row>
    <row r="251" spans="2:3" hidden="1">
      <c r="B251" s="60"/>
      <c r="C251" s="59">
        <v>0.7</v>
      </c>
    </row>
    <row r="252" spans="2:3" hidden="1">
      <c r="B252" s="60"/>
      <c r="C252" s="59">
        <v>0.75</v>
      </c>
    </row>
    <row r="253" spans="2:3" hidden="1">
      <c r="B253" s="60"/>
      <c r="C253" s="59">
        <v>0.8</v>
      </c>
    </row>
    <row r="254" spans="2:3" hidden="1">
      <c r="B254" s="60"/>
      <c r="C254" s="29" t="s">
        <v>168</v>
      </c>
    </row>
    <row r="255" spans="2:3" ht="16.3" hidden="1" thickBot="1">
      <c r="B255" s="62"/>
      <c r="C255" s="31"/>
    </row>
    <row r="256" spans="2:3" hidden="1"/>
  </sheetData>
  <mergeCells count="4">
    <mergeCell ref="B1:I1"/>
    <mergeCell ref="D28:I28"/>
    <mergeCell ref="K45:Q45"/>
    <mergeCell ref="D42:I42"/>
  </mergeCells>
  <dataValidations count="6">
    <dataValidation type="whole" operator="greaterThanOrEqual" allowBlank="1" showInputMessage="1" showErrorMessage="1" sqref="C47:H61 C66:H66" xr:uid="{0C61361D-99E9-4845-ACDD-4EE6C30B0BD7}">
      <formula1>0</formula1>
    </dataValidation>
    <dataValidation type="list" allowBlank="1" showInputMessage="1" showErrorMessage="1" sqref="C12" xr:uid="{63918F97-39F5-0749-A07F-5700D2ADAC1C}">
      <formula1>$B$177:$B$234</formula1>
    </dataValidation>
    <dataValidation type="list" allowBlank="1" showInputMessage="1" showErrorMessage="1" sqref="C31" xr:uid="{80C87310-52CB-894D-837E-76CF66FDF9A4}">
      <formula1>$B$247:$B$248</formula1>
    </dataValidation>
    <dataValidation type="list" allowBlank="1" showInputMessage="1" showErrorMessage="1" sqref="R47:R61 C25:C26 C16:C17 C13 C23 C19:C21 C37" xr:uid="{AFA88EB3-1BFF-5C44-A5FF-99398DC27B58}">
      <formula1>$B$239:$B$240</formula1>
    </dataValidation>
    <dataValidation type="list" allowBlank="1" showInputMessage="1" showErrorMessage="1" sqref="B47:B61" xr:uid="{5E384068-7D55-8F41-9C04-D014B250BC89}">
      <formula1>$C$239:$C$254</formula1>
    </dataValidation>
    <dataValidation type="list" allowBlank="1" showInputMessage="1" showErrorMessage="1" sqref="C15" xr:uid="{5E6FF540-9580-5B4B-9BF4-6B2FED2ED130}">
      <formula1>$B$242:$B$245</formula1>
    </dataValidation>
  </dataValidations>
  <pageMargins left="0.7" right="0.7" top="0.75" bottom="0.75" header="0.3" footer="0.3"/>
  <pageSetup scale="56" fitToHeight="0" orientation="landscape" horizontalDpi="0" verticalDpi="0"/>
  <ignoredErrors>
    <ignoredError sqref="I47 I4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Scoring</vt:lpstr>
      <vt:lpstr>Tiebreaker Calculation</vt:lpstr>
      <vt:lpstr>Scoring!Print_Area</vt:lpstr>
      <vt:lpstr>'Tiebreaker Calculation'!Print_Area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HDFC Scoring and Tiebreaker Template</dc:title>
  <dc:subject/>
  <dc:creator/>
  <cp:keywords/>
  <dc:description/>
  <cp:lastModifiedBy/>
  <cp:revision>1</cp:revision>
  <dcterms:created xsi:type="dcterms:W3CDTF">2026-09-02T17:32:22Z</dcterms:created>
  <dcterms:modified xsi:type="dcterms:W3CDTF">2026-09-02T17:32:40Z</dcterms:modified>
  <cp:category/>
  <cp:contentStatus/>
</cp:coreProperties>
</file>