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NAlvarez\Downloads\125348\"/>
    </mc:Choice>
  </mc:AlternateContent>
  <xr:revisionPtr revIDLastSave="0" documentId="13_ncr:1_{F36561CB-C29C-4EA8-ABEB-89FE8797BDF6}" xr6:coauthVersionLast="47" xr6:coauthVersionMax="47" xr10:uidLastSave="{00000000-0000-0000-0000-000000000000}"/>
  <bookViews>
    <workbookView xWindow="-103" yWindow="-103" windowWidth="33120" windowHeight="18000" xr2:uid="{FBD92E23-6EF7-6F44-BDB7-1B3F11F79E23}"/>
  </bookViews>
  <sheets>
    <sheet name="Scoring" sheetId="3" r:id="rId1"/>
    <sheet name="Tiebreaker Calculation" sheetId="1" r:id="rId2"/>
  </sheets>
  <definedNames>
    <definedName name="_xlnm.Print_Area" localSheetId="0">Scoring!$A$2:$H$126</definedName>
    <definedName name="_xlnm.Print_Area" localSheetId="1">'Tiebreaker Calculation'!$B$1:$I$114</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79" i="1" l="1"/>
  <c r="H80" i="1"/>
  <c r="H74" i="1"/>
  <c r="F78" i="1"/>
  <c r="F79" i="1"/>
  <c r="F80" i="1"/>
  <c r="F77" i="1"/>
  <c r="H73" i="1"/>
  <c r="H72" i="1"/>
  <c r="H78" i="1" s="1"/>
  <c r="D95" i="1"/>
  <c r="D114" i="1"/>
  <c r="D104" i="1"/>
  <c r="E88" i="3"/>
  <c r="E120" i="3"/>
  <c r="F107" i="3" s="1"/>
  <c r="F95" i="3" s="1"/>
  <c r="E87" i="3"/>
  <c r="E85" i="3"/>
  <c r="H85" i="3"/>
  <c r="H79" i="3"/>
  <c r="H71" i="1"/>
  <c r="D108" i="1"/>
  <c r="B135" i="1"/>
  <c r="G84" i="1"/>
  <c r="G83" i="1"/>
  <c r="C11" i="1"/>
  <c r="F20" i="3"/>
  <c r="F5" i="3" s="1"/>
  <c r="F10" i="3"/>
  <c r="F4" i="3" s="1"/>
  <c r="E8" i="3"/>
  <c r="B6" i="3"/>
  <c r="B5" i="3"/>
  <c r="B4" i="3"/>
  <c r="F82" i="3" l="1"/>
  <c r="F6" i="3" s="1"/>
  <c r="F8" i="3" s="1"/>
  <c r="H79" i="1"/>
  <c r="H75" i="1"/>
  <c r="H77" i="1"/>
  <c r="H81" i="1" s="1"/>
  <c r="G95" i="3"/>
  <c r="E173" i="1"/>
  <c r="D96" i="1"/>
  <c r="C60" i="1"/>
  <c r="D60" i="1"/>
  <c r="E60" i="1"/>
  <c r="F60" i="1"/>
  <c r="I45" i="1"/>
  <c r="I46" i="1"/>
  <c r="I47" i="1"/>
  <c r="I48" i="1"/>
  <c r="I49" i="1"/>
  <c r="I138" i="1" s="1"/>
  <c r="I59" i="1"/>
  <c r="I148" i="1" s="1"/>
  <c r="I58" i="1"/>
  <c r="I147" i="1" s="1"/>
  <c r="I57" i="1"/>
  <c r="I146" i="1" s="1"/>
  <c r="I56" i="1"/>
  <c r="I145" i="1" s="1"/>
  <c r="I55" i="1"/>
  <c r="I144" i="1" s="1"/>
  <c r="I54" i="1"/>
  <c r="I143" i="1" s="1"/>
  <c r="I53" i="1"/>
  <c r="I142" i="1" s="1"/>
  <c r="I52" i="1"/>
  <c r="I141" i="1" s="1"/>
  <c r="I51" i="1"/>
  <c r="I140" i="1" s="1"/>
  <c r="I50" i="1"/>
  <c r="I139" i="1" s="1"/>
  <c r="D21" i="1"/>
  <c r="C122" i="1"/>
  <c r="D122" i="1"/>
  <c r="D157" i="1" s="1"/>
  <c r="H60" i="1"/>
  <c r="H65" i="1" s="1"/>
  <c r="G60" i="1"/>
  <c r="E122" i="1"/>
  <c r="E154" i="1" s="1"/>
  <c r="F122" i="1"/>
  <c r="F153" i="1" s="1"/>
  <c r="G122" i="1"/>
  <c r="C123" i="1"/>
  <c r="D123" i="1"/>
  <c r="E123" i="1"/>
  <c r="F123" i="1"/>
  <c r="H123" i="1"/>
  <c r="G123" i="1"/>
  <c r="M46" i="1"/>
  <c r="M47" i="1"/>
  <c r="M48" i="1"/>
  <c r="M49" i="1"/>
  <c r="M50" i="1"/>
  <c r="M51" i="1"/>
  <c r="M52" i="1"/>
  <c r="M53" i="1"/>
  <c r="M54" i="1"/>
  <c r="M55" i="1"/>
  <c r="M56" i="1"/>
  <c r="M57" i="1"/>
  <c r="M58" i="1"/>
  <c r="M59" i="1"/>
  <c r="M45" i="1"/>
  <c r="G121" i="1"/>
  <c r="H121" i="1" s="1"/>
  <c r="D100" i="1"/>
  <c r="H129" i="1"/>
  <c r="C236" i="1"/>
  <c r="B154" i="1"/>
  <c r="B155" i="1"/>
  <c r="B156" i="1"/>
  <c r="B157" i="1"/>
  <c r="B158" i="1"/>
  <c r="B159" i="1"/>
  <c r="B160" i="1"/>
  <c r="B161" i="1"/>
  <c r="B162" i="1"/>
  <c r="B163" i="1"/>
  <c r="B164" i="1"/>
  <c r="B165" i="1"/>
  <c r="B166" i="1"/>
  <c r="B167" i="1"/>
  <c r="B153" i="1"/>
  <c r="C121" i="1"/>
  <c r="D121" i="1"/>
  <c r="E121" i="1"/>
  <c r="F121" i="1"/>
  <c r="I64" i="1"/>
  <c r="G86" i="1" l="1"/>
  <c r="H83" i="1"/>
  <c r="H84" i="1"/>
  <c r="I135" i="1"/>
  <c r="G65" i="1"/>
  <c r="G127" i="1"/>
  <c r="I136" i="1"/>
  <c r="I137" i="1"/>
  <c r="C63" i="1" a="1"/>
  <c r="I134" i="1"/>
  <c r="C157" i="1"/>
  <c r="C153" i="1"/>
  <c r="H122" i="1"/>
  <c r="G163" i="1"/>
  <c r="H178" i="1"/>
  <c r="H189" i="1"/>
  <c r="C127" i="1"/>
  <c r="C65" i="1"/>
  <c r="D127" i="1"/>
  <c r="D128" i="1" s="1"/>
  <c r="D130" i="1" s="1"/>
  <c r="D65" i="1"/>
  <c r="E127" i="1"/>
  <c r="E65" i="1"/>
  <c r="F127" i="1"/>
  <c r="F65" i="1"/>
  <c r="D164" i="1"/>
  <c r="H212" i="1"/>
  <c r="C159" i="1"/>
  <c r="F166" i="1"/>
  <c r="F160" i="1"/>
  <c r="C156" i="1"/>
  <c r="C155" i="1"/>
  <c r="G167" i="1"/>
  <c r="G161" i="1"/>
  <c r="C166" i="1"/>
  <c r="C160" i="1"/>
  <c r="C165" i="1"/>
  <c r="C154" i="1"/>
  <c r="C164" i="1"/>
  <c r="C163" i="1"/>
  <c r="C162" i="1"/>
  <c r="G165" i="1"/>
  <c r="C161" i="1"/>
  <c r="D165" i="1"/>
  <c r="C158" i="1"/>
  <c r="H201" i="1"/>
  <c r="F167" i="1"/>
  <c r="H224" i="1"/>
  <c r="G159" i="1"/>
  <c r="H181" i="1"/>
  <c r="F165" i="1"/>
  <c r="F158" i="1"/>
  <c r="G157" i="1"/>
  <c r="F164" i="1"/>
  <c r="F156" i="1"/>
  <c r="G155" i="1"/>
  <c r="F154" i="1"/>
  <c r="F163" i="1"/>
  <c r="G153" i="1"/>
  <c r="F162" i="1"/>
  <c r="H219" i="1"/>
  <c r="H208" i="1"/>
  <c r="H197" i="1"/>
  <c r="H230" i="1"/>
  <c r="H187" i="1"/>
  <c r="H218" i="1"/>
  <c r="H226" i="1"/>
  <c r="H194" i="1"/>
  <c r="H231" i="1"/>
  <c r="H186" i="1"/>
  <c r="D161" i="1"/>
  <c r="D156" i="1"/>
  <c r="H217" i="1"/>
  <c r="H205" i="1"/>
  <c r="H193" i="1"/>
  <c r="H232" i="1"/>
  <c r="H185" i="1"/>
  <c r="H215" i="1"/>
  <c r="H204" i="1"/>
  <c r="H192" i="1"/>
  <c r="H233" i="1"/>
  <c r="H184" i="1"/>
  <c r="D160" i="1"/>
  <c r="D155" i="1"/>
  <c r="H214" i="1"/>
  <c r="H203" i="1"/>
  <c r="H191" i="1"/>
  <c r="H234" i="1"/>
  <c r="H183" i="1"/>
  <c r="H213" i="1"/>
  <c r="H202" i="1"/>
  <c r="H190" i="1"/>
  <c r="H235" i="1"/>
  <c r="H182" i="1"/>
  <c r="D159" i="1"/>
  <c r="D154" i="1"/>
  <c r="H211" i="1"/>
  <c r="H200" i="1"/>
  <c r="H188" i="1"/>
  <c r="H221" i="1"/>
  <c r="H179" i="1"/>
  <c r="D167" i="1"/>
  <c r="D163" i="1"/>
  <c r="D158" i="1"/>
  <c r="D153" i="1"/>
  <c r="H210" i="1"/>
  <c r="H199" i="1"/>
  <c r="H227" i="1"/>
  <c r="H220" i="1"/>
  <c r="H222" i="1"/>
  <c r="H225" i="1"/>
  <c r="H209" i="1"/>
  <c r="H198" i="1"/>
  <c r="H228" i="1"/>
  <c r="H196" i="1"/>
  <c r="H207" i="1"/>
  <c r="D166" i="1"/>
  <c r="D162" i="1"/>
  <c r="I60" i="1"/>
  <c r="F161" i="1"/>
  <c r="F159" i="1"/>
  <c r="F157" i="1"/>
  <c r="F155" i="1"/>
  <c r="E167" i="1"/>
  <c r="E165" i="1"/>
  <c r="E163" i="1"/>
  <c r="E161" i="1"/>
  <c r="E159" i="1"/>
  <c r="E157" i="1"/>
  <c r="E155" i="1"/>
  <c r="E153" i="1"/>
  <c r="H216" i="1"/>
  <c r="H206" i="1"/>
  <c r="H195" i="1"/>
  <c r="H229" i="1"/>
  <c r="H223" i="1"/>
  <c r="H180" i="1"/>
  <c r="C167" i="1"/>
  <c r="G166" i="1"/>
  <c r="G164" i="1"/>
  <c r="G162" i="1"/>
  <c r="G160" i="1"/>
  <c r="G158" i="1"/>
  <c r="G156" i="1"/>
  <c r="G154" i="1"/>
  <c r="E166" i="1"/>
  <c r="E164" i="1"/>
  <c r="E162" i="1"/>
  <c r="E160" i="1"/>
  <c r="E158" i="1"/>
  <c r="E156" i="1"/>
  <c r="G85" i="1" l="1"/>
  <c r="H85" i="1" s="1"/>
  <c r="C89" i="1"/>
  <c r="C88" i="1" s="1"/>
  <c r="D89" i="1"/>
  <c r="B136" i="1"/>
  <c r="B134" i="1"/>
  <c r="H156" i="1"/>
  <c r="H162" i="1"/>
  <c r="H166" i="1"/>
  <c r="H153" i="1"/>
  <c r="H157" i="1"/>
  <c r="H161" i="1"/>
  <c r="H165" i="1"/>
  <c r="C73" i="1"/>
  <c r="H154" i="1"/>
  <c r="H158" i="1"/>
  <c r="H160" i="1"/>
  <c r="H164" i="1"/>
  <c r="H155" i="1"/>
  <c r="H159" i="1"/>
  <c r="H163" i="1"/>
  <c r="H167" i="1"/>
  <c r="I65" i="1"/>
  <c r="B138" i="1"/>
  <c r="B140" i="1"/>
  <c r="B141" i="1"/>
  <c r="B148" i="1"/>
  <c r="B143" i="1"/>
  <c r="B145" i="1"/>
  <c r="B147" i="1"/>
  <c r="B137" i="1"/>
  <c r="B139" i="1"/>
  <c r="B142" i="1"/>
  <c r="B144" i="1"/>
  <c r="B146" i="1"/>
  <c r="C128" i="1"/>
  <c r="C130" i="1" s="1"/>
  <c r="H127" i="1"/>
  <c r="C168" i="1"/>
  <c r="C62" i="1"/>
  <c r="G168" i="1"/>
  <c r="F168" i="1"/>
  <c r="D168" i="1"/>
  <c r="F128" i="1"/>
  <c r="F130" i="1" s="1"/>
  <c r="G128" i="1"/>
  <c r="G130" i="1" s="1"/>
  <c r="E168" i="1"/>
  <c r="C86" i="1" l="1"/>
  <c r="C80" i="1"/>
  <c r="C81" i="1"/>
  <c r="C83" i="1"/>
  <c r="H168" i="1"/>
  <c r="C84" i="1"/>
  <c r="C82" i="1"/>
  <c r="H70" i="1"/>
  <c r="C138" i="1"/>
  <c r="H142" i="1"/>
  <c r="F146" i="1"/>
  <c r="H141" i="1"/>
  <c r="F137" i="1"/>
  <c r="D140" i="1"/>
  <c r="D135" i="1"/>
  <c r="E148" i="1"/>
  <c r="C144" i="1"/>
  <c r="E128" i="1"/>
  <c r="E130" i="1" s="1"/>
  <c r="H130" i="1" s="1"/>
  <c r="C108" i="1" s="1"/>
  <c r="C106" i="1" s="1"/>
  <c r="G136" i="1"/>
  <c r="H139" i="1"/>
  <c r="C139" i="1"/>
  <c r="E139" i="1"/>
  <c r="G139" i="1"/>
  <c r="D139" i="1"/>
  <c r="F139" i="1"/>
  <c r="E147" i="1"/>
  <c r="G147" i="1"/>
  <c r="D147" i="1"/>
  <c r="F147" i="1"/>
  <c r="C147" i="1"/>
  <c r="H147" i="1"/>
  <c r="C134" i="1"/>
  <c r="D134" i="1"/>
  <c r="G145" i="1"/>
  <c r="D145" i="1"/>
  <c r="C145" i="1"/>
  <c r="F145" i="1"/>
  <c r="H145" i="1"/>
  <c r="E145" i="1"/>
  <c r="C143" i="1"/>
  <c r="C78" i="1" l="1"/>
  <c r="C76" i="1" s="1"/>
  <c r="H86" i="1"/>
  <c r="H87" i="1" s="1"/>
  <c r="F134" i="1"/>
  <c r="H134" i="1"/>
  <c r="E134" i="1"/>
  <c r="G134" i="1"/>
  <c r="D143" i="1"/>
  <c r="G143" i="1"/>
  <c r="E143" i="1"/>
  <c r="F138" i="1"/>
  <c r="D138" i="1"/>
  <c r="G138" i="1"/>
  <c r="E138" i="1"/>
  <c r="E136" i="1"/>
  <c r="H136" i="1"/>
  <c r="F136" i="1"/>
  <c r="F142" i="1"/>
  <c r="G140" i="1"/>
  <c r="C136" i="1"/>
  <c r="H138" i="1"/>
  <c r="G137" i="1"/>
  <c r="D142" i="1"/>
  <c r="H143" i="1"/>
  <c r="G142" i="1"/>
  <c r="F143" i="1"/>
  <c r="C142" i="1"/>
  <c r="E141" i="1"/>
  <c r="D136" i="1"/>
  <c r="E140" i="1"/>
  <c r="C146" i="1"/>
  <c r="G146" i="1"/>
  <c r="G141" i="1"/>
  <c r="D146" i="1"/>
  <c r="D141" i="1"/>
  <c r="D137" i="1"/>
  <c r="C141" i="1"/>
  <c r="H140" i="1"/>
  <c r="E137" i="1"/>
  <c r="F141" i="1"/>
  <c r="E142" i="1"/>
  <c r="C140" i="1"/>
  <c r="G144" i="1"/>
  <c r="G135" i="1"/>
  <c r="E146" i="1"/>
  <c r="H146" i="1"/>
  <c r="C148" i="1"/>
  <c r="D144" i="1"/>
  <c r="E144" i="1"/>
  <c r="E135" i="1"/>
  <c r="F144" i="1"/>
  <c r="F148" i="1"/>
  <c r="F135" i="1"/>
  <c r="H128" i="1"/>
  <c r="D148" i="1"/>
  <c r="H137" i="1"/>
  <c r="H144" i="1"/>
  <c r="H148" i="1"/>
  <c r="H135" i="1"/>
  <c r="C135" i="1"/>
  <c r="F140" i="1"/>
  <c r="G148" i="1"/>
  <c r="C137" i="1"/>
  <c r="C95" i="1"/>
  <c r="C96" i="1"/>
  <c r="C114" i="1"/>
  <c r="C112" i="1" s="1"/>
  <c r="C110" i="1" s="1"/>
  <c r="C104" i="1"/>
  <c r="C102" i="1" s="1"/>
  <c r="C100" i="1"/>
  <c r="C98" i="1" s="1"/>
  <c r="C93" i="1" l="1"/>
  <c r="C91" i="1" s="1"/>
  <c r="H68" i="1"/>
  <c r="E5" i="1" s="1"/>
  <c r="G87" i="1"/>
  <c r="F149" i="1"/>
  <c r="G149" i="1"/>
  <c r="C149" i="1"/>
  <c r="E149" i="1"/>
  <c r="D149" i="1"/>
  <c r="H149" i="1"/>
  <c r="C74" i="1" l="1"/>
  <c r="C70" i="1"/>
  <c r="C68" i="1" s="1"/>
  <c r="E3" i="1" s="1"/>
  <c r="E7" i="1" s="1"/>
  <c r="C63"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<sst xmlns="http://schemas.openxmlformats.org/spreadsheetml/2006/main" count="555" uniqueCount="317">
  <si>
    <t>Rent Savings Benefit</t>
  </si>
  <si>
    <t>DATA TABLES -- DO NOT DELETE -- TBLs AND FMRs CURRENT AS OF 2026</t>
  </si>
  <si>
    <t>Adjustment Factors for Statewide Basis Delta</t>
  </si>
  <si>
    <t>Basis Delta</t>
  </si>
  <si>
    <t>Statewide</t>
  </si>
  <si>
    <t>Over Lowest</t>
  </si>
  <si>
    <t>Basis</t>
  </si>
  <si>
    <t>County</t>
  </si>
  <si>
    <t>Studio</t>
  </si>
  <si>
    <t>1BR</t>
  </si>
  <si>
    <t>2BR</t>
  </si>
  <si>
    <t>3BR</t>
  </si>
  <si>
    <t>4BR</t>
  </si>
  <si>
    <t>Adjust</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</si>
  <si>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</si>
  <si>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</si>
  <si>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</si>
  <si>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</si>
  <si>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</si>
  <si>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</si>
  <si>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</si>
  <si>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</si>
  <si>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</si>
  <si>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</si>
  <si>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</si>
  <si>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</si>
  <si>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</si>
  <si>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</si>
  <si>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</si>
  <si>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</si>
  <si>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</si>
  <si>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</si>
  <si>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</si>
  <si>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</si>
  <si>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</si>
  <si>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</si>
  <si>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</si>
  <si>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</si>
  <si>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</si>
  <si>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</si>
  <si>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</si>
  <si>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</si>
  <si>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</si>
  <si>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</si>
  <si>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</si>
  <si>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</si>
  <si>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</si>
  <si>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</si>
  <si>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</si>
  <si>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</si>
  <si>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</si>
  <si>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</si>
  <si>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</si>
  <si>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</si>
  <si>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</si>
  <si>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</si>
  <si>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</si>
  <si>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</si>
  <si>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</si>
  <si>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</si>
  <si>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</si>
  <si>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</si>
  <si>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</si>
  <si>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</si>
  <si>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Sutter</t>
  </si>
  <si>
    <t>Tehama</t>
  </si>
  <si>
    <t>Trinity</t>
  </si>
  <si>
    <t>Tulare</t>
  </si>
  <si>
    <t>Tuolumne</t>
  </si>
  <si>
    <t>Ventura</t>
  </si>
  <si>
    <t>Yolo</t>
  </si>
  <si>
    <t>Yuba</t>
  </si>
  <si>
    <t>Total of Above</t>
  </si>
  <si>
    <t>Fair Market Rents</t>
  </si>
  <si>
    <t>TBL</t>
  </si>
  <si>
    <t>Rent Limits</t>
  </si>
  <si>
    <t>5BR</t>
  </si>
  <si>
    <t>County TBL:</t>
  </si>
  <si>
    <t>County FMR:</t>
  </si>
  <si>
    <t>County 100% AMI Rent:</t>
  </si>
  <si>
    <t>Lists</t>
  </si>
  <si>
    <t>Manager</t>
  </si>
  <si>
    <t>Total</t>
  </si>
  <si>
    <t>Total Units</t>
  </si>
  <si>
    <t>Rent Benefit Rents</t>
  </si>
  <si>
    <t>30% AMI or Less</t>
  </si>
  <si>
    <t>35% AMI</t>
  </si>
  <si>
    <t>40% AMI</t>
  </si>
  <si>
    <t>50% AMI</t>
  </si>
  <si>
    <t>Unit Type</t>
  </si>
  <si>
    <t>Resource Area Benefit</t>
  </si>
  <si>
    <t>Total Restricted Units</t>
  </si>
  <si>
    <t>Tax Credit Units</t>
  </si>
  <si>
    <t>Adjusted Unit Counts</t>
  </si>
  <si>
    <t>Adjustment Factor</t>
  </si>
  <si>
    <t>Adjusted Count</t>
  </si>
  <si>
    <t>4BR+</t>
  </si>
  <si>
    <t>High</t>
  </si>
  <si>
    <t>Highest</t>
  </si>
  <si>
    <t>Moderate</t>
  </si>
  <si>
    <t>Other</t>
  </si>
  <si>
    <t>Benefit Type</t>
  </si>
  <si>
    <t>Resource Area</t>
  </si>
  <si>
    <t>Community Based Developer Benefit</t>
  </si>
  <si>
    <t>Restricted Unit Monthly FMR Rents</t>
  </si>
  <si>
    <t>Applicable Rents</t>
  </si>
  <si>
    <t>Adjusted Unit Calculation Table</t>
  </si>
  <si>
    <t>Project Name:</t>
  </si>
  <si>
    <t>Project Financing</t>
  </si>
  <si>
    <t>PLA Adjustment</t>
  </si>
  <si>
    <t>Per Unit Benefit</t>
  </si>
  <si>
    <t>Selection</t>
  </si>
  <si>
    <t>County Statistics</t>
  </si>
  <si>
    <t>Community Revitalization Area Benefit</t>
  </si>
  <si>
    <t>Prevailing Wage Adjustment</t>
  </si>
  <si>
    <t>Seismic Adjustment</t>
  </si>
  <si>
    <t>SWBD Adjustment</t>
  </si>
  <si>
    <t>Exp. Neighborhood Change</t>
  </si>
  <si>
    <t>Lower than CTCAC Rent Benefits</t>
  </si>
  <si>
    <t>45% AMI</t>
  </si>
  <si>
    <t>Special Populations Benefit</t>
  </si>
  <si>
    <t>VLI Benefit</t>
  </si>
  <si>
    <t>Population Benefit</t>
  </si>
  <si>
    <t>Location Benefit</t>
  </si>
  <si>
    <t>Bedroom Adj. Units</t>
  </si>
  <si>
    <t>CRA Benefit</t>
  </si>
  <si>
    <t>Greenhouse Gas Reduction Fund Benefit</t>
  </si>
  <si>
    <t>Resource Request</t>
  </si>
  <si>
    <t>Total Adjustment Factor</t>
  </si>
  <si>
    <t>Initially Adjusted Request</t>
  </si>
  <si>
    <t xml:space="preserve"> </t>
  </si>
  <si>
    <t>Points Scored</t>
  </si>
  <si>
    <t>Negative Points (Manually enter as a negative)</t>
  </si>
  <si>
    <t>Total:</t>
  </si>
  <si>
    <t>Location Category</t>
  </si>
  <si>
    <t>Minimum Density Requirements</t>
  </si>
  <si>
    <t>Large City Downtown</t>
  </si>
  <si>
    <t>Minimum of 60 units/ acre for residential only projects, minimum of &gt;3.0 FAR for mixed-use projects</t>
  </si>
  <si>
    <t>Urban Center</t>
  </si>
  <si>
    <t>Minimum of 40 units/ acre for residential only projects, minimum of &gt;2.0 FAR for mixed-use projects</t>
  </si>
  <si>
    <t>All Other Areas</t>
  </si>
  <si>
    <t>Minimum of 25 units/ acre for residential only projects, minimum of &gt;1.5 FAR for mixed-use projects</t>
  </si>
  <si>
    <t>Rural</t>
  </si>
  <si>
    <t>Minimum of 15 units/ acre for residential only projects, minimum of &gt;1.0 FAR for mixed-use projects</t>
  </si>
  <si>
    <t>Enter as total CTCAC Amenity Points</t>
  </si>
  <si>
    <t>Dropdowns</t>
  </si>
  <si>
    <t>Housing Type</t>
  </si>
  <si>
    <t>Points</t>
  </si>
  <si>
    <t>(1)</t>
  </si>
  <si>
    <t>(2)</t>
  </si>
  <si>
    <t>(3)</t>
  </si>
  <si>
    <t>(4)</t>
  </si>
  <si>
    <t>(5)</t>
  </si>
  <si>
    <t>(6)</t>
  </si>
  <si>
    <t>Most Walkable (Dark Green; 15.25-20)</t>
  </si>
  <si>
    <t>Above Average Walkable ( Light Green; 10.51-15.25)</t>
  </si>
  <si>
    <t>Points Available</t>
  </si>
  <si>
    <t>Projects that meet any one of the following criteria shall receive 45 points:</t>
  </si>
  <si>
    <t>Section Total Points Scored:</t>
  </si>
  <si>
    <t>Large Family Housing</t>
  </si>
  <si>
    <t>Senior Housing</t>
  </si>
  <si>
    <t>Farmworker Housing</t>
  </si>
  <si>
    <t>Special Needs Housing</t>
  </si>
  <si>
    <t>Supportive Housing</t>
  </si>
  <si>
    <t>Tribal Housing</t>
  </si>
  <si>
    <t>High Density Housing</t>
  </si>
  <si>
    <t>To qualify as a Farmworker Housing type, a Project must meet the following requirements:</t>
  </si>
  <si>
    <t>25-Point Rehab/Preservation Project</t>
  </si>
  <si>
    <t>20 Point Rehab/Preservation Project</t>
  </si>
  <si>
    <t>10 Point Rehab/Preservation Project</t>
  </si>
  <si>
    <t>(7)</t>
  </si>
  <si>
    <t>i. At-Risk Project</t>
  </si>
  <si>
    <t>ii. A replacement or Rehabilitation Project approved by HUD pursuant to a Section 18 or 22 Demolition/Disposition authorization.</t>
  </si>
  <si>
    <t>iii. A Project being rehabilitated under the HUD Rental Assistance Demonstration (RAD) Program, or a Rehabilitation Project that has received a new Section 515 loan from the United States Department of Agriculture</t>
  </si>
  <si>
    <t>iv. A Project that received an award from HCD’s Portfolio Reinvestment Program</t>
  </si>
  <si>
    <t>v. A Project with a pre-1999 HCD loan</t>
  </si>
  <si>
    <t xml:space="preserve">ii. A Project applying with SRO Housing, as defined in 4 CCR § 10325(g) of the CTCAC regulations, and the Rehabilitation will add a bathroom and complete kitchen to each unit.  </t>
  </si>
  <si>
    <t xml:space="preserve">iii. The application’s Developer Fee limit pursuant to 4 CCR § 10327(c)(2) is further limited to a cash-out Developer Fee no greater than 80% of the CTCAC cash-out Developer Fee limit.  </t>
  </si>
  <si>
    <t>Rehab - (1)</t>
  </si>
  <si>
    <t>Rehab - (2)</t>
  </si>
  <si>
    <t>Rehab - (3)</t>
  </si>
  <si>
    <t>Please select one Housing Type, if applicable:</t>
  </si>
  <si>
    <t>Affordability (Maximum 45 Points)</t>
  </si>
  <si>
    <t>Housing Type (Maximum 35 points)</t>
  </si>
  <si>
    <t>TIE BREAKER</t>
  </si>
  <si>
    <t>Total Benefit Numerator</t>
  </si>
  <si>
    <t>Cost Adjusted Request Amount Denominator</t>
  </si>
  <si>
    <t>÷</t>
  </si>
  <si>
    <r>
      <rPr>
        <i/>
        <sz val="12"/>
        <rFont val="Aptos Narrow (Body)"/>
      </rPr>
      <t>No.</t>
    </r>
    <r>
      <rPr>
        <i/>
        <sz val="12"/>
        <rFont val="Aptos Narrow"/>
        <scheme val="minor"/>
      </rPr>
      <t xml:space="preserve"> Units</t>
    </r>
  </si>
  <si>
    <r>
      <rPr>
        <i/>
        <sz val="12"/>
        <rFont val="Aptos Narrow (Body)"/>
      </rPr>
      <t>No.</t>
    </r>
    <r>
      <rPr>
        <i/>
        <sz val="12"/>
        <rFont val="Aptos Narrow"/>
        <family val="2"/>
        <scheme val="minor"/>
      </rPr>
      <t xml:space="preserve"> Units</t>
    </r>
  </si>
  <si>
    <t>New Construction Projects</t>
  </si>
  <si>
    <t>Rehabilitation and/or Preservation Housing</t>
  </si>
  <si>
    <t>Documentation requirements and supporting documentation requirements are still under development and will be revised prior to final application issuance</t>
  </si>
  <si>
    <t>AMI Tier</t>
  </si>
  <si>
    <t>Excludes: Previously state awarded funds; MHP Supportive Services Grant; MHP Supportive Housing COSR</t>
  </si>
  <si>
    <r>
      <t xml:space="preserve">Acq/Rehab </t>
    </r>
    <r>
      <rPr>
        <sz val="12"/>
        <rFont val="Aptos Narrow (Body)"/>
      </rPr>
      <t>projects</t>
    </r>
    <r>
      <rPr>
        <b/>
        <sz val="12"/>
        <color rgb="FFFF0000"/>
        <rFont val="Aptos Narrow (Body)"/>
      </rPr>
      <t xml:space="preserve"> </t>
    </r>
    <r>
      <rPr>
        <sz val="12"/>
        <color theme="1"/>
        <rFont val="Aptos Narrow"/>
        <family val="2"/>
        <scheme val="minor"/>
      </rPr>
      <t xml:space="preserve">ONLY requiring seismic upgrades or on-site environmental remediation. Enter actual cost of upgrades or remediation. </t>
    </r>
  </si>
  <si>
    <t>9% or 4% LIHTC</t>
  </si>
  <si>
    <t>Tax Exempt Bonds</t>
  </si>
  <si>
    <t>HDFC Resources Requested</t>
  </si>
  <si>
    <t>Includes AHSC?</t>
  </si>
  <si>
    <t>Project Name</t>
  </si>
  <si>
    <t>Community-Based Developer</t>
  </si>
  <si>
    <t>Experiencing Neighborhood Change</t>
  </si>
  <si>
    <t>Located &amp; Included in Community Revitalization Area</t>
  </si>
  <si>
    <t>Acq/Rehab w/ lower rents than CTCAC Rent Limits</t>
  </si>
  <si>
    <t>Prevailing Wage</t>
  </si>
  <si>
    <t>Project Labor Agreement or Similar</t>
  </si>
  <si>
    <t>Seismic/Environmental Mitigation Cost</t>
  </si>
  <si>
    <t>CTCAC Resources Projected</t>
  </si>
  <si>
    <t>Enter data in blue cells only</t>
  </si>
  <si>
    <t>Affordability Mix</t>
  </si>
  <si>
    <t>See CDLAC Regulations Section 5106(f)</t>
  </si>
  <si>
    <t>See CDLAC Regulations Section 5106(f)(2)(B)</t>
  </si>
  <si>
    <r>
      <t>If some units at a given AMI tier have a rental subsidy and some do not, enter the</t>
    </r>
    <r>
      <rPr>
        <i/>
        <sz val="12"/>
        <color rgb="FFFF0000"/>
        <rFont val="Aptos Narrow (Body)"/>
      </rPr>
      <t>m</t>
    </r>
    <r>
      <rPr>
        <i/>
        <sz val="12"/>
        <color rgb="FFFF0000"/>
        <rFont val="Aptos Narrow"/>
        <family val="2"/>
        <scheme val="minor"/>
      </rPr>
      <t xml:space="preserve"> on two separate </t>
    </r>
    <r>
      <rPr>
        <i/>
        <sz val="12"/>
        <color rgb="FFFF0000"/>
        <rFont val="Aptos Narrow (Body)"/>
      </rPr>
      <t>rows</t>
    </r>
    <r>
      <rPr>
        <i/>
        <sz val="12"/>
        <color rgb="FFFF0000"/>
        <rFont val="Aptos Narrow"/>
        <family val="2"/>
        <scheme val="minor"/>
      </rPr>
      <t>.</t>
    </r>
  </si>
  <si>
    <t>Enter unit totals at appropriate AMI levels. AMI levels may be adjusted using dropdown menus if necessary.</t>
  </si>
  <si>
    <t>Only complete this table if the project is an acq/rehab with rents that are lower than CTCAC rents.</t>
  </si>
  <si>
    <t>Unit totals should be entered in the columns C:H, enter monthly per-unit rents in columns L:Q</t>
  </si>
  <si>
    <t>Acq/ Rehab Rents Lower than CTCAC - Average Rent Charged Over the Prev. 3 Yrs</t>
  </si>
  <si>
    <t>9% LIHTC (annual)</t>
  </si>
  <si>
    <t>MHP COSR</t>
  </si>
  <si>
    <t>Project Information + Tiebreaker Characteristics</t>
  </si>
  <si>
    <t>HDFC Funds</t>
  </si>
  <si>
    <t>Do not modify data tables + formulas below</t>
  </si>
  <si>
    <r>
      <t xml:space="preserve">A Project meeting </t>
    </r>
    <r>
      <rPr>
        <b/>
        <i/>
        <sz val="12"/>
        <color theme="1"/>
        <rFont val="Aptos Narrow"/>
        <scheme val="minor"/>
      </rPr>
      <t>any</t>
    </r>
    <r>
      <rPr>
        <sz val="12"/>
        <color theme="1"/>
        <rFont val="Aptos Narrow"/>
        <scheme val="minor"/>
      </rPr>
      <t xml:space="preserve"> of the following criteria will receive 25 points:</t>
    </r>
  </si>
  <si>
    <r>
      <t xml:space="preserve">A Project that does not qualify for any of the criteria in (1)(A) above and meets </t>
    </r>
    <r>
      <rPr>
        <b/>
        <sz val="12"/>
        <color theme="1"/>
        <rFont val="Aptos Narrow"/>
        <scheme val="minor"/>
      </rPr>
      <t>either of</t>
    </r>
    <r>
      <rPr>
        <sz val="12"/>
        <color theme="1"/>
        <rFont val="Aptos Narrow"/>
        <scheme val="minor"/>
      </rPr>
      <t xml:space="preserve"> the following criteria will receive 20 points:	</t>
    </r>
  </si>
  <si>
    <r>
      <t xml:space="preserve">A Project meeting </t>
    </r>
    <r>
      <rPr>
        <b/>
        <sz val="12"/>
        <color theme="1"/>
        <rFont val="Aptos Narrow"/>
        <scheme val="minor"/>
      </rPr>
      <t>all of</t>
    </r>
    <r>
      <rPr>
        <sz val="12"/>
        <color theme="1"/>
        <rFont val="Aptos Narrow"/>
        <scheme val="minor"/>
      </rPr>
      <t xml:space="preserve"> the following will receive 10 points:</t>
    </r>
  </si>
  <si>
    <t>Climate and Location Priorities (Maximum 20 Points)</t>
  </si>
  <si>
    <t>AHSC and/or TOD Project</t>
  </si>
  <si>
    <r>
      <t xml:space="preserve"> Total Site and Service Amenities Points per 4 CCR § 10325(C)(4)(A) of CTCAC Regulations </t>
    </r>
    <r>
      <rPr>
        <b/>
        <u/>
        <sz val="12"/>
        <color rgb="FFFF0000"/>
        <rFont val="Aptos Narrow"/>
        <scheme val="minor"/>
      </rPr>
      <t>(15 points maximum)</t>
    </r>
    <r>
      <rPr>
        <sz val="12"/>
        <color theme="1"/>
        <rFont val="Aptos Narrow"/>
        <scheme val="minor"/>
      </rPr>
      <t>, except:</t>
    </r>
  </si>
  <si>
    <t>Tax Exempt Bond Request</t>
  </si>
  <si>
    <t>Aggregate Basis</t>
  </si>
  <si>
    <t>Amount of Tax Exempt Bonds requested from HDFC and CDLAC. $0 for 9% LIHTC Projects</t>
  </si>
  <si>
    <t>Depreciable basis plus land basis (land and land-related costs) for 4% LIHTC projects.</t>
  </si>
  <si>
    <r>
      <rPr>
        <b/>
        <u/>
        <sz val="12"/>
        <color theme="1"/>
        <rFont val="Aptos Narrow (Body)"/>
      </rPr>
      <t>Rural Housing:</t>
    </r>
    <r>
      <rPr>
        <b/>
        <sz val="12"/>
        <color theme="1"/>
        <rFont val="Aptos Narrow"/>
        <scheme val="minor"/>
      </rPr>
      <t xml:space="preserve"> </t>
    </r>
    <r>
      <rPr>
        <sz val="12"/>
        <color theme="1"/>
        <rFont val="Aptos Narrow"/>
        <scheme val="minor"/>
      </rPr>
      <t xml:space="preserve">Projects located in Rural areas as defined in HSC § 50199.21 where the average affordability of Restricted Units is less than or equal to 60% AMI, with at least 10% of Units restricted at or below 40% AMI. </t>
    </r>
  </si>
  <si>
    <r>
      <rPr>
        <b/>
        <u/>
        <sz val="12"/>
        <color theme="1"/>
        <rFont val="Aptos Narrow (Body)"/>
      </rPr>
      <t xml:space="preserve">All others: </t>
    </r>
    <r>
      <rPr>
        <sz val="12"/>
        <color theme="1"/>
        <rFont val="Aptos Narrow"/>
        <scheme val="minor"/>
      </rPr>
      <t>Projects where the average affordability of Restricted Units is less than or equal to 60% AMI, with at least 10% of Units restricted at or below 30% AMI and an additional 10% of Units restricted at or below 50%.</t>
    </r>
  </si>
  <si>
    <t xml:space="preserve">a. At least twenty-five percent (25%) of the Units are available to and occupied by Farmworker Households. </t>
  </si>
  <si>
    <t xml:space="preserve">To qualify as Supportive Housing, as that term is defined in HSC § 50675.14(c)(1), a Project must meet the following requirements: </t>
  </si>
  <si>
    <t xml:space="preserve">b. Must provide a preliminary Supportive Service plan as described in Section 32100 and in 4 CCR § 10325(g)(3)(I).  </t>
  </si>
  <si>
    <t>To qualify as Rehabilitation/Preservation housing, the Project must meet the requirements defined in these Regulations and will be awarded points as follows.</t>
  </si>
  <si>
    <t>a. Federal major disaster declarations with only Public Assistance do not qualify.</t>
  </si>
  <si>
    <t>b. Major disaster declaration with Individual Assistance designation date must be within three years of application submission date.</t>
  </si>
  <si>
    <t xml:space="preserve">c. Applicants are required to provide a copy of the disaster declaration number and FEMA webpage, or map showing the county was included in the major disaster declaration with Individual Assistance designation.  </t>
  </si>
  <si>
    <t>Project-Based Rental Assistance (or similar)</t>
  </si>
  <si>
    <t>Unit Count</t>
  </si>
  <si>
    <t>Population</t>
  </si>
  <si>
    <t>Farmworker</t>
  </si>
  <si>
    <t>Special Needs</t>
  </si>
  <si>
    <t>None/ Other</t>
  </si>
  <si>
    <t>Farmworker Units</t>
  </si>
  <si>
    <t>Tribal Entity Benefit</t>
  </si>
  <si>
    <t>Sponsor is a Tribal Entity</t>
  </si>
  <si>
    <t>Per-Unit MTCO2e Reduction</t>
  </si>
  <si>
    <t>Per-Unit GHG Reduction is the total reduction in greenhouse gas emissions over the life of the Project, in metric tons of carbon dioxide equivalent (MTCO2e), as reported in the Total GGRF GHG Emissions Change output of the AHSC Affordable Housing Benefits Calculator Tool developed by the California Air Resources Board, divided by the total number of units in the Project</t>
  </si>
  <si>
    <r>
      <t>20 to less than 40 MTCO2e per unit.</t>
    </r>
    <r>
      <rPr>
        <sz val="12"/>
        <color rgb="FF000000"/>
        <rFont val="Arial"/>
        <family val="2"/>
      </rPr>
      <t> </t>
    </r>
  </si>
  <si>
    <t>Less than 20 MTCO2e per unit.</t>
  </si>
  <si>
    <r>
      <t>40 to less than 60 MTCO2e per unit.</t>
    </r>
    <r>
      <rPr>
        <sz val="12"/>
        <color rgb="FF000000"/>
        <rFont val="Arial"/>
        <family val="2"/>
      </rPr>
      <t> </t>
    </r>
  </si>
  <si>
    <r>
      <t>60 to less than 80 MTCO2e per unit.</t>
    </r>
    <r>
      <rPr>
        <sz val="12"/>
        <color rgb="FF000000"/>
        <rFont val="Arial"/>
        <family val="2"/>
      </rPr>
      <t> </t>
    </r>
  </si>
  <si>
    <r>
      <rPr>
        <sz val="7"/>
        <color theme="1"/>
        <rFont val="Times New Roman"/>
        <family val="1"/>
      </rPr>
      <t xml:space="preserve"> </t>
    </r>
    <r>
      <rPr>
        <sz val="12"/>
        <color theme="1"/>
        <rFont val="Arial"/>
        <family val="2"/>
      </rPr>
      <t>80 MTCO2e or more per unit.</t>
    </r>
    <r>
      <rPr>
        <sz val="12"/>
        <color rgb="FF000000"/>
        <rFont val="Arial"/>
        <family val="2"/>
      </rPr>
      <t> </t>
    </r>
  </si>
  <si>
    <t>AHSC Benefit Table</t>
  </si>
  <si>
    <t xml:space="preserve">Total MHP COSR Request. Requests up to $6,000,000 will not affect tiebreaker. Any portion of MHP COSR in excess of $6,000,000 will be included in the tiebreaker denominator </t>
  </si>
  <si>
    <t xml:space="preserve">Consistent with requirements adopted by CTCAC for “Large family projects” pursuant to 4 CCR § 10325(g), to be considered Large Family housing, at least twenty-five percent (25%) of the Units shall be three-bedroom or larger Units and an additional twenty-five percent (25%) of the Units shall be two-bedroom or larger Units, in addition to meeting other requirements as further defined by CTCAC in 4 CCR § 10325(g)(1). </t>
  </si>
  <si>
    <r>
      <t xml:space="preserve">1. Projects in Rural Areas will receive </t>
    </r>
    <r>
      <rPr>
        <u/>
        <sz val="12"/>
        <color theme="1"/>
        <rFont val="Aptos Narrow (Body)"/>
      </rPr>
      <t>3 points</t>
    </r>
    <r>
      <rPr>
        <sz val="12"/>
        <color theme="1"/>
        <rFont val="Aptos Narrow"/>
        <scheme val="minor"/>
      </rPr>
      <t xml:space="preserve"> for being located within 5 miles of a park or community center accessible to the general public.</t>
    </r>
  </si>
  <si>
    <r>
      <t xml:space="preserve">3. Projects in Rural Areas will receive </t>
    </r>
    <r>
      <rPr>
        <u/>
        <sz val="12"/>
        <color theme="1"/>
        <rFont val="Aptos Narrow (Body)"/>
      </rPr>
      <t xml:space="preserve">2 points </t>
    </r>
    <r>
      <rPr>
        <sz val="12"/>
        <color theme="1"/>
        <rFont val="Aptos Narrow"/>
        <scheme val="minor"/>
      </rPr>
      <t>for being located within 10 miles of a qualifying medical clinic with a physician, physician's assistant, or nurse practitioner onsite for a minimum of 40 hours each week, or hospital.</t>
    </r>
  </si>
  <si>
    <r>
      <t xml:space="preserve">2. Projects in Rural Areas will receive </t>
    </r>
    <r>
      <rPr>
        <u/>
        <sz val="12"/>
        <color theme="1"/>
        <rFont val="Aptos Narrow (Body)"/>
      </rPr>
      <t xml:space="preserve">3 points </t>
    </r>
    <r>
      <rPr>
        <sz val="12"/>
        <color theme="1"/>
        <rFont val="Aptos Narrow"/>
        <scheme val="minor"/>
      </rPr>
      <t>for being located within 5 miles of a qualifying medical clinic with a physician, physician's assistant, or nurse practitioner onsite for a minimum of 40 hours each week, or hospital.</t>
    </r>
  </si>
  <si>
    <t>For Rural Above Average</t>
  </si>
  <si>
    <t>To qualify as Tribal Housing, the Sponsor must be a Tribal Entity or the Project must be located on Tribal Land or within a tribe’s Indian Area as defined under 25 USC § 4103(11).</t>
  </si>
  <si>
    <r>
      <t xml:space="preserve"> Any Project may receive a maximum of 5 points in the category below. Projects pursuing</t>
    </r>
    <r>
      <rPr>
        <b/>
        <i/>
        <u/>
        <sz val="12"/>
        <color rgb="FFFF0000"/>
        <rFont val="Aptos Narrow (Body)"/>
      </rPr>
      <t xml:space="preserve"> AHSC and/or TOD program funds must meet and utilize the section below and obtain 5 points</t>
    </r>
    <r>
      <rPr>
        <b/>
        <i/>
        <sz val="12"/>
        <color rgb="FFFF0000"/>
        <rFont val="Aptos Narrow"/>
        <scheme val="minor"/>
      </rPr>
      <t>.</t>
    </r>
  </si>
  <si>
    <r>
      <rPr>
        <b/>
        <sz val="12"/>
        <color theme="1"/>
        <rFont val="Aptos Narrow"/>
        <scheme val="minor"/>
      </rPr>
      <t>ii</t>
    </r>
    <r>
      <rPr>
        <sz val="12"/>
        <color theme="1"/>
        <rFont val="Aptos Narrow"/>
        <scheme val="minor"/>
      </rPr>
      <t>. State Excess Site. Projects to be developed on land disposed pursuant to Executive Order N-06-19. For excess state-owned property disposed of under Executive Order N-06-19, the Project must have been selected by HCD/HDFC and the Department of General Services to enter into a ground lease with the State of California for the development of affordable housing on excess state-owned land.</t>
    </r>
  </si>
  <si>
    <r>
      <rPr>
        <b/>
        <sz val="12"/>
        <color theme="1"/>
        <rFont val="Aptos Narrow"/>
        <scheme val="minor"/>
      </rPr>
      <t>v</t>
    </r>
    <r>
      <rPr>
        <sz val="12"/>
        <color theme="1"/>
        <rFont val="Aptos Narrow"/>
        <scheme val="minor"/>
      </rPr>
      <t>. Projects located on Land from faith-based organizations.</t>
    </r>
  </si>
  <si>
    <r>
      <rPr>
        <b/>
        <sz val="12"/>
        <color theme="1"/>
        <rFont val="Aptos Narrow"/>
        <scheme val="minor"/>
      </rPr>
      <t>vi</t>
    </r>
    <r>
      <rPr>
        <sz val="12"/>
        <color theme="1"/>
        <rFont val="Aptos Narrow"/>
        <scheme val="minor"/>
      </rPr>
      <t>. Projects in a location that is 15% below the regional average for per-capita VMT.</t>
    </r>
  </si>
  <si>
    <r>
      <rPr>
        <b/>
        <sz val="12"/>
        <color theme="1"/>
        <rFont val="Aptos Narrow"/>
        <scheme val="minor"/>
      </rPr>
      <t xml:space="preserve">i. </t>
    </r>
    <r>
      <rPr>
        <sz val="12"/>
        <color theme="1"/>
        <rFont val="Aptos Narrow"/>
        <scheme val="minor"/>
      </rPr>
      <t>Prohousing Status. Affordable Housing Developments located in a jurisdiction that has adopted a housing element that has been found by HCD to be in substantial compliance with the requirements of Article 10.6 (commencing with Gov. Code, § 65580) in compliance with State Housing Element Law and is designated prohousing pursuant to Gov. Code, § 65589.9(c) and to 25 CCR § 6600 et seq.</t>
    </r>
  </si>
  <si>
    <r>
      <rPr>
        <b/>
        <sz val="12"/>
        <color theme="1"/>
        <rFont val="Aptos Narrow"/>
        <scheme val="minor"/>
      </rPr>
      <t xml:space="preserve">ii. </t>
    </r>
    <r>
      <rPr>
        <sz val="12"/>
        <color theme="1"/>
        <rFont val="Aptos Narrow"/>
        <scheme val="minor"/>
      </rPr>
      <t>State Excess Site. Projects to be developed on land disposed pursuant to Executive Order N-06-19. For excess state-owned property disposed of under Executive Order N-06-19, the Project must have been selected by HCD/HDFC and the Department of General Services to enter into a ground lease with the State of California for the development of affordable housing on excess state-owned land.</t>
    </r>
  </si>
  <si>
    <r>
      <rPr>
        <b/>
        <sz val="12"/>
        <color theme="1"/>
        <rFont val="Aptos Narrow"/>
        <scheme val="minor"/>
      </rPr>
      <t xml:space="preserve">iii. </t>
    </r>
    <r>
      <rPr>
        <sz val="12"/>
        <color theme="1"/>
        <rFont val="Aptos Narrow"/>
        <scheme val="minor"/>
      </rPr>
      <t>Local Surplus Land. Projects acquired or leased from local agency with an HCD findings letter documenting compliance with Surplus Land Act (SLA), as defined in SLA Guidelines Section 500(c). This requirement applies even if the land is determined to be exempt or excluded from SLA. All applications must include the letter directly in the application submission, even if it is available in the HCD catalogue of findings letters.</t>
    </r>
  </si>
  <si>
    <r>
      <rPr>
        <b/>
        <sz val="12"/>
        <color theme="1"/>
        <rFont val="Aptos Narrow"/>
        <scheme val="minor"/>
      </rPr>
      <t>iv.</t>
    </r>
    <r>
      <rPr>
        <sz val="12"/>
        <color theme="1"/>
        <rFont val="Aptos Narrow"/>
        <scheme val="minor"/>
      </rPr>
      <t xml:space="preserve"> Rural Disadvantaged Community. Project is located in a census tract identified as a Disadvantaged Community on the Cal EPA SB 535 map and is not located within a census block designated as an urban area by the United States Census Bureau in the most recent decennial census.  </t>
    </r>
  </si>
  <si>
    <r>
      <rPr>
        <b/>
        <sz val="12"/>
        <color theme="1"/>
        <rFont val="Aptos Narrow"/>
        <scheme val="minor"/>
      </rPr>
      <t xml:space="preserve">vii. </t>
    </r>
    <r>
      <rPr>
        <sz val="12"/>
        <color theme="1"/>
        <rFont val="Aptos Narrow"/>
        <scheme val="minor"/>
      </rPr>
      <t>Federal Disaster Area</t>
    </r>
    <r>
      <rPr>
        <b/>
        <sz val="12"/>
        <color theme="1"/>
        <rFont val="Aptos Narrow"/>
        <scheme val="minor"/>
      </rPr>
      <t>.</t>
    </r>
    <r>
      <rPr>
        <sz val="12"/>
        <color theme="1"/>
        <rFont val="Aptos Narrow"/>
        <scheme val="minor"/>
      </rPr>
      <t xml:space="preserve"> Projects located within a county that is included in a federal major disaster declaration, pursuant to 42 USC § 5122, by the Federal Emergency Management Agency (FEMA) and includes Individual Assistance designation.   </t>
    </r>
  </si>
  <si>
    <r>
      <rPr>
        <b/>
        <sz val="12"/>
        <color theme="1"/>
        <rFont val="Aptos Narrow"/>
        <scheme val="minor"/>
      </rPr>
      <t>i</t>
    </r>
    <r>
      <rPr>
        <sz val="12"/>
        <color theme="1"/>
        <rFont val="Aptos Narrow"/>
        <scheme val="minor"/>
      </rPr>
      <t>. Prohousing Status. Affordable Housing Developments located in a jurisdiction that has adopted a housing element that has been found by HCD to be in substantial compliance with the requirements of Article 10.6 (commencing with § 65580) of the Government Code in compliance with State Housing Element Law and is designated prohousing pursuant to subdivision (c) of § 65589.9 of the Government Code and to California Code Regs., tit. 25, § 6600 et seq. and to Cal. Code Regs., tit. 25, § 6600 et seq</t>
    </r>
  </si>
  <si>
    <r>
      <rPr>
        <b/>
        <sz val="12"/>
        <color theme="1"/>
        <rFont val="Aptos Narrow"/>
        <scheme val="minor"/>
      </rPr>
      <t>iii</t>
    </r>
    <r>
      <rPr>
        <sz val="12"/>
        <color theme="1"/>
        <rFont val="Aptos Narrow"/>
        <scheme val="minor"/>
      </rPr>
      <t>. Local Surplus Land. Projects acquired or leased from local agency with an HCD findings letter documenting compliance with Surplus Land Act (SLA), as defined in SLA Guidelines Section 500(c). This requirement applies even if the land is determined to be exempt or excluded from SLA. All applications must include the letter directly in the application submission, even if it is available in the HCD catalogue of findings letters.</t>
    </r>
  </si>
  <si>
    <r>
      <rPr>
        <b/>
        <sz val="12"/>
        <color theme="1"/>
        <rFont val="Aptos Narrow"/>
        <scheme val="minor"/>
      </rPr>
      <t>iv</t>
    </r>
    <r>
      <rPr>
        <sz val="12"/>
        <color theme="1"/>
        <rFont val="Aptos Narrow"/>
        <scheme val="minor"/>
      </rPr>
      <t>. Projects located on Land from faith-based organizations.</t>
    </r>
  </si>
  <si>
    <r>
      <rPr>
        <b/>
        <sz val="12"/>
        <color theme="1"/>
        <rFont val="Aptos Narrow"/>
        <scheme val="minor"/>
      </rPr>
      <t>v</t>
    </r>
    <r>
      <rPr>
        <sz val="12"/>
        <color theme="1"/>
        <rFont val="Aptos Narrow"/>
        <scheme val="minor"/>
      </rPr>
      <t>. Projects in a location that is 15% below the regional average for per-capita VMT.</t>
    </r>
  </si>
  <si>
    <r>
      <rPr>
        <b/>
        <sz val="12"/>
        <color theme="1"/>
        <rFont val="Aptos Narrow"/>
        <scheme val="minor"/>
      </rPr>
      <t>vi</t>
    </r>
    <r>
      <rPr>
        <sz val="12"/>
        <color theme="1"/>
        <rFont val="Aptos Narrow"/>
        <scheme val="minor"/>
      </rPr>
      <t xml:space="preserve">. Federal Disaster Area: Projects located within a county that is included in a federal major disaster declaration, pursuant to 42 USC § 5122, by the Federal Emergency Management Agency (FEMA) and includes Individual Assistance designation.   </t>
    </r>
  </si>
  <si>
    <r>
      <rPr>
        <b/>
        <sz val="12"/>
        <color theme="1"/>
        <rFont val="Aptos Narrow"/>
        <scheme val="minor"/>
      </rPr>
      <t>vii</t>
    </r>
    <r>
      <rPr>
        <sz val="12"/>
        <color theme="1"/>
        <rFont val="Aptos Narrow"/>
        <scheme val="minor"/>
      </rPr>
      <t xml:space="preserve">. Proximity to Climate-Related Public Investments. Projects that are located within 1 mile of existing, planned, or previously funded climate-related public investments, including transportation, active transportation, climate resilience, transit-oriented development, and other community-serving infrastructure improvements, through California Climate Investments Funded Programs. </t>
    </r>
  </si>
  <si>
    <r>
      <rPr>
        <b/>
        <sz val="12"/>
        <color theme="1"/>
        <rFont val="Aptos Narrow"/>
        <scheme val="minor"/>
      </rPr>
      <t>viii.</t>
    </r>
    <r>
      <rPr>
        <sz val="12"/>
        <color theme="1"/>
        <rFont val="Aptos Narrow"/>
        <scheme val="minor"/>
      </rPr>
      <t xml:space="preserve"> Disadvantaged Community. Projects located in a disadvantaged community as identified on the CalEnviroScreen SB 535 Disadvantaged Communities map and as defined in Section 34000.</t>
    </r>
  </si>
  <si>
    <r>
      <rPr>
        <b/>
        <sz val="12"/>
        <color theme="1"/>
        <rFont val="Aptos Narrow"/>
        <scheme val="minor"/>
      </rPr>
      <t>ix</t>
    </r>
    <r>
      <rPr>
        <sz val="12"/>
        <color theme="1"/>
        <rFont val="Aptos Narrow"/>
        <scheme val="minor"/>
      </rPr>
      <t xml:space="preserve">. Parking Limits. Projects that provide one parking space or less for every two Units. </t>
    </r>
  </si>
  <si>
    <r>
      <rPr>
        <b/>
        <sz val="12"/>
        <color theme="1"/>
        <rFont val="Aptos Narrow"/>
        <scheme val="minor"/>
      </rPr>
      <t>x</t>
    </r>
    <r>
      <rPr>
        <sz val="12"/>
        <color theme="1"/>
        <rFont val="Aptos Narrow"/>
        <scheme val="minor"/>
      </rPr>
      <t>. Walkability. Locaation efficiency of the Project site as determined by the US EPA Walkability index using the address of the Project site (max 2 points):</t>
    </r>
  </si>
  <si>
    <t>in the AHSC/TOD category under (6):</t>
  </si>
  <si>
    <t>AHSC/TOD Category</t>
  </si>
  <si>
    <r>
      <t xml:space="preserve">Projects not pursuing AHSC and/or TOD may only select </t>
    </r>
    <r>
      <rPr>
        <b/>
        <i/>
        <u/>
        <sz val="12"/>
        <color rgb="FFFF0000"/>
        <rFont val="Aptos Narrow (Body)"/>
      </rPr>
      <t>one of the options below</t>
    </r>
    <r>
      <rPr>
        <b/>
        <i/>
        <sz val="12"/>
        <color rgb="FFFF0000"/>
        <rFont val="Aptos Narrow"/>
        <scheme val="minor"/>
      </rPr>
      <t xml:space="preserve"> or score a maximum of 5 points </t>
    </r>
  </si>
  <si>
    <t>HDFC TIE BREAKER as of 10/26/26</t>
  </si>
  <si>
    <t>HDFC POINTS SYSTEM as of 10/26/26</t>
  </si>
  <si>
    <t>Large Family</t>
  </si>
  <si>
    <t>Acq/ Rehab</t>
  </si>
  <si>
    <t>Special Needs/ Supportive Housing Benefit</t>
  </si>
  <si>
    <t>9% LIHTC Request</t>
  </si>
  <si>
    <t>State Tax Credit Request</t>
  </si>
  <si>
    <t>Total State Tax Credit request</t>
  </si>
  <si>
    <t>HDFC Resources Request</t>
  </si>
  <si>
    <t>Total Request</t>
  </si>
  <si>
    <t>20 to less than 40 MTCO2e per unit. </t>
  </si>
  <si>
    <t>Average Affordability - Restricted Units</t>
  </si>
  <si>
    <t>Average Affordability - Units without 
Project-Based Rental Assistance</t>
  </si>
  <si>
    <r>
      <rPr>
        <b/>
        <u/>
        <sz val="12"/>
        <color theme="1"/>
        <rFont val="Aptos Narrow (Body)"/>
      </rPr>
      <t xml:space="preserve">Special Needs and Supportive Housing Types: </t>
    </r>
    <r>
      <rPr>
        <sz val="12"/>
        <color theme="1"/>
        <rFont val="Aptos Narrow"/>
        <scheme val="minor"/>
      </rPr>
      <t>Projects where the average affordability of Restricted Units is less than or equal to 60% AMI, with at least 25% of Units restricted at or below 30% AMI for Special Needs Populations. Only eligible for Projects meeting the requirements of Special Needs or Supportive Housing types per Section 32040 (b).</t>
    </r>
  </si>
  <si>
    <t>Consistent with requirements adopted by CTCAC for “Senior projects” pursuant to 4 CCR § 10325(g), to be considered Senior Housing, all Units shall be restricted to households eligible under applicable provisions of Civ. Code, §§ 51.3, 51.3.5, and 51.11 and the federal Fair Housing Act and shall be further subject to Fair Housing Laws with respect to Senior Housing. As applicable, Projects with Senior Units receiving project-based Section 8 rental subsidy, or other applicable federal rental subsidies that specifically prohibit a senior restriction, may use a senior preference for senior unit leasing, in compliance with 42 USC § 1437f, in addition to meeting other requirements as further defined by CTCAC in 4 CCR § 10325(g)(2).</t>
  </si>
  <si>
    <t>Senior Housing residents are defined as an individual 62 years of age or older, or 55 years of age or older in a senior housing development per Civ. Code, § 51.3(b)(4).</t>
  </si>
  <si>
    <t>To qualify as Special Needs Housing, a Project must have the greater of 15 Restricted Units or 25% of the Restricted Units reserved for Special Needs Population(s). The 15 Low-Income Unit minimum shall not apply to a Project with committed HUD § 811 funding. The Project must provide a preliminary Supportive Service plan as described in Section 32100 and in CTCAC under 4 CCR § 10325(g)(3)(I) addressing the needs of the Special Needs Population at the time of application. Special Needs Housing applications shall also meet all requirements of 4 CCR § 10325(g)(3), except that HDFC-regulated Special Needs Housing Projects are exempt from the following requirements of 4 CCR §10325(g)(3):</t>
  </si>
  <si>
    <t>a. Requirement for any development with less than 75% of the Low-Income Units serving Special Needs Population(s), the non-Special Needs Units shall either: (i) meet the Large Family or Senior Housing requirements; or (ii) consist of at least 20% one-bedroom Units and at least 10% larger than one-bedroom Units.</t>
  </si>
  <si>
    <t>b. Average targeted income for the Special Needs Units of no more than 40% of AMI (4 CCR §10325(g)(3)(A)).</t>
  </si>
  <si>
    <t>a. 40% of the Restricted Units are reserved for people experiencing Chronic Homelessness or youth Homelessness or exiting institutions, as defined also in Chapter 3, Section 33001.</t>
  </si>
  <si>
    <t>To qualify as High-Density Housing, a Project must meet HDFC’s required minimum Net Density (dwelling Units per acre) at completion, based on the Project’s location category, as defined below. This Housing Type will be capped after 25% of all funding awarded. The 4 Project location categories are defined as follows:</t>
  </si>
  <si>
    <t>High-Density Housing may include all unit types, with minimum unit size requirements not less than the minimum size for Single Room Occupancy (SRO)/studio units as specified in CTCAC regulations (4 CCR §§ 10302 and 10325).</t>
  </si>
  <si>
    <t>i. A Project with at least $120,000 in hard construction costs per tax credit unit and is replacing at least two major building systems, or</t>
  </si>
  <si>
    <t>i. The Project does not result in a distribution of net project equity, as that term is defined in 4 CCR § 10302(gg) of the CTCAC regulations, to a general partner or a related party to the general partner. For purposes of this subparagraph, there may be a buyout of a limited partner or equity distributed to a third-party seller;</t>
  </si>
  <si>
    <t>ii. There is no partial or full repayment of existing soft financing, except for loans less than or equal to the greater of $500,000 or 1.5% of the Project’s total development costs or for temporary repayments that will be restored in the permanent financing; and</t>
  </si>
  <si>
    <t>Projects developed on Tribal Land or within a tribe’s Indian Area as defined under 25 USC §4103(11)</t>
  </si>
  <si>
    <t>High or Highest Resource Areas (20 Points, 15 points with AHSC and/or TOD Project)</t>
  </si>
  <si>
    <r>
      <t xml:space="preserve">Projects </t>
    </r>
    <r>
      <rPr>
        <u/>
        <sz val="12"/>
        <color theme="1"/>
        <rFont val="Aptos Narrow (Body)"/>
      </rPr>
      <t>not eligible above</t>
    </r>
    <r>
      <rPr>
        <sz val="12"/>
        <color theme="1"/>
        <rFont val="Aptos Narrow"/>
        <scheme val="minor"/>
      </rPr>
      <t xml:space="preserve"> as (1) Projects Located in a High/Highest resource area, or (2 )Projects developed on Tribal Land or within a tribe's Indian Area as defined under 25 USC Section 4103(11):
          (A) Any Projects located in a </t>
    </r>
    <r>
      <rPr>
        <b/>
        <u/>
        <sz val="12"/>
        <color theme="1"/>
        <rFont val="Aptos Narrow (Body)"/>
      </rPr>
      <t>Moderate Resource Area</t>
    </r>
    <r>
      <rPr>
        <sz val="12"/>
        <color theme="1"/>
        <rFont val="Aptos Narrow"/>
        <scheme val="minor"/>
      </rPr>
      <t>.</t>
    </r>
  </si>
  <si>
    <r>
      <rPr>
        <b/>
        <sz val="12"/>
        <color theme="1"/>
        <rFont val="Aptos Narrow"/>
        <scheme val="minor"/>
      </rPr>
      <t>xi</t>
    </r>
    <r>
      <rPr>
        <sz val="12"/>
        <color theme="1"/>
        <rFont val="Aptos Narrow"/>
        <scheme val="minor"/>
      </rPr>
      <t xml:space="preserve">. Bicycle Parking. Provide at least one (1) Secure Overnight Bicycle Parking space for every 2 residential Units. </t>
    </r>
  </si>
  <si>
    <r>
      <rPr>
        <b/>
        <sz val="12"/>
        <color theme="1"/>
        <rFont val="Aptos Narrow"/>
        <scheme val="minor"/>
      </rPr>
      <t>xii</t>
    </r>
    <r>
      <rPr>
        <sz val="12"/>
        <color theme="1"/>
        <rFont val="Aptos Narrow"/>
        <scheme val="minor"/>
      </rPr>
      <t>.Transit Passes. Provide free or discounted passes to all residents for not less than 3 years. (If used here can't be used in Amenities)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</si>
</sst>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0.0%"/>
    <numFmt numFmtId="166" formatCode="_(&quot;$&quot;* #,##0_);_(&quot;$&quot;* \(#,##0\);_(&quot;$&quot;* &quot;-&quot;??_);_(@_)"/>
    <numFmt numFmtId="167" formatCode="&quot;$&quot;#,##0.00"/>
  </numFmts>
  <fonts count="41">
    <font>
      <sz val="12"/>
      <color theme="1"/>
      <name val="Aptos Narrow"/>
      <family val="2"/>
      <scheme val="minor"/>
    </font>
    <font>
      <sz val="12"/>
      <color theme="1"/>
      <name val="Aptos Narrow"/>
      <family val="2"/>
      <scheme val="minor"/>
    </font>
    <font>
      <b/>
      <sz val="12"/>
      <color theme="1"/>
      <name val="Aptos Narrow"/>
      <scheme val="minor"/>
    </font>
    <font>
      <sz val="10"/>
      <name val="Geneva"/>
      <family val="2"/>
    </font>
    <font>
      <sz val="10"/>
      <name val="Arial"/>
      <family val="2"/>
    </font>
    <font>
      <sz val="12"/>
      <color theme="1"/>
      <name val="Aptos Narrow"/>
      <scheme val="minor"/>
    </font>
    <font>
      <b/>
      <sz val="10"/>
      <name val="Arial"/>
      <family val="2"/>
    </font>
    <font>
      <b/>
      <sz val="12"/>
      <color rgb="FFFF0000"/>
      <name val="Aptos Narrow (Body)"/>
    </font>
    <font>
      <sz val="12"/>
      <name val="Aptos Narrow"/>
      <family val="2"/>
      <scheme val="minor"/>
    </font>
    <font>
      <b/>
      <sz val="12"/>
      <name val="Aptos Narrow (Body)"/>
    </font>
    <font>
      <sz val="12"/>
      <name val="Aptos Narrow (Body)"/>
    </font>
    <font>
      <sz val="12"/>
      <name val="Aptos Narrow"/>
      <scheme val="minor"/>
    </font>
    <font>
      <b/>
      <sz val="12"/>
      <name val="Aptos Narrow"/>
      <scheme val="minor"/>
    </font>
    <font>
      <b/>
      <sz val="12"/>
      <color rgb="FFFF0000"/>
      <name val="Aptos Narrow"/>
      <scheme val="minor"/>
    </font>
    <font>
      <sz val="12"/>
      <color rgb="FFFF0000"/>
      <name val="Aptos Narrow"/>
      <scheme val="minor"/>
    </font>
    <font>
      <i/>
      <u/>
      <sz val="12"/>
      <color theme="1"/>
      <name val="Aptos Narrow"/>
      <scheme val="minor"/>
    </font>
    <font>
      <b/>
      <sz val="12"/>
      <color theme="9" tint="0.39997558519241921"/>
      <name val="Aptos Narrow"/>
      <scheme val="minor"/>
    </font>
    <font>
      <b/>
      <u/>
      <sz val="12"/>
      <color rgb="FFFF0000"/>
      <name val="Aptos Narrow"/>
      <scheme val="minor"/>
    </font>
    <font>
      <b/>
      <i/>
      <sz val="12"/>
      <color theme="1"/>
      <name val="Aptos Narrow"/>
      <scheme val="minor"/>
    </font>
    <font>
      <b/>
      <i/>
      <sz val="12"/>
      <name val="Aptos Narrow"/>
      <scheme val="minor"/>
    </font>
    <font>
      <b/>
      <u/>
      <sz val="12"/>
      <color theme="1"/>
      <name val="Aptos Narrow"/>
      <scheme val="minor"/>
    </font>
    <font>
      <i/>
      <sz val="12"/>
      <color theme="1"/>
      <name val="Aptos Narrow"/>
      <scheme val="minor"/>
    </font>
    <font>
      <b/>
      <u/>
      <sz val="12"/>
      <color theme="1"/>
      <name val="Aptos Narrow (Body)"/>
    </font>
    <font>
      <sz val="11"/>
      <color rgb="FFFF0000"/>
      <name val="Aptos Narrow"/>
      <scheme val="minor"/>
    </font>
    <font>
      <b/>
      <sz val="20"/>
      <color theme="0"/>
      <name val="Arial"/>
      <family val="2"/>
    </font>
    <font>
      <i/>
      <sz val="12"/>
      <name val="Aptos Narrow"/>
      <scheme val="minor"/>
    </font>
    <font>
      <i/>
      <sz val="12"/>
      <name val="Aptos Narrow (Body)"/>
    </font>
    <font>
      <i/>
      <sz val="12"/>
      <name val="Aptos Narrow"/>
      <family val="2"/>
      <scheme val="minor"/>
    </font>
    <font>
      <i/>
      <sz val="12"/>
      <color theme="1"/>
      <name val="Aptos Narrow"/>
      <family val="2"/>
      <scheme val="minor"/>
    </font>
    <font>
      <b/>
      <sz val="26"/>
      <color theme="0"/>
      <name val="Aptos Narrow"/>
      <scheme val="minor"/>
    </font>
    <font>
      <i/>
      <sz val="12"/>
      <color rgb="FFFF0000"/>
      <name val="Aptos Narrow"/>
      <scheme val="minor"/>
    </font>
    <font>
      <i/>
      <sz val="12"/>
      <color rgb="FFFF0000"/>
      <name val="Aptos Narrow"/>
      <family val="2"/>
      <scheme val="minor"/>
    </font>
    <font>
      <i/>
      <sz val="12"/>
      <color rgb="FFFF0000"/>
      <name val="Aptos Narrow (Body)"/>
    </font>
    <font>
      <sz val="12"/>
      <color theme="1"/>
      <name val="Arial"/>
      <family val="2"/>
    </font>
    <font>
      <sz val="7"/>
      <color theme="1"/>
      <name val="Times New Roman"/>
      <family val="1"/>
    </font>
    <font>
      <sz val="12"/>
      <color rgb="FF000000"/>
      <name val="Arial"/>
      <family val="2"/>
    </font>
    <font>
      <sz val="12"/>
      <color theme="1"/>
      <name val="Arial"/>
      <family val="1"/>
    </font>
    <font>
      <u/>
      <sz val="12"/>
      <color theme="1"/>
      <name val="Aptos Narrow (Body)"/>
    </font>
    <font>
      <b/>
      <i/>
      <sz val="12"/>
      <color rgb="FFFF0000"/>
      <name val="Aptos Narrow"/>
      <scheme val="minor"/>
    </font>
    <font>
      <b/>
      <i/>
      <u/>
      <sz val="12"/>
      <color rgb="FFFF0000"/>
      <name val="Aptos Narrow (Body)"/>
    </font>
    <font>
      <b/>
      <sz val="14"/>
      <color theme="1"/>
      <name val="Aptos Narrow"/>
      <scheme val="minor"/>
    </font>
  </fonts>
  <fills count="9">
    <fill>
      <patternFill patternType="none"/>
    </fill>
    <fill>
      <patternFill patternType="gray125"/>
    </fill>
    <fill>
      <patternFill patternType="solid">
        <fgColor rgb="FFFF0000"/>
        <bgColor indexed="64"/>
      </patternFill>
    </fill>
    <fill>
      <patternFill patternType="solid">
        <fgColor theme="0" tint="-0.14999847407452621"/>
        <bgColor indexed="64"/>
      </patternFill>
    </fill>
    <fill>
      <patternFill patternType="solid">
        <fgColor theme="3" tint="0.89999084444715716"/>
        <bgColor indexed="64"/>
      </patternFill>
    </fill>
    <fill>
      <patternFill patternType="solid">
        <fgColor theme="0" tint="-0.249977111117893"/>
        <bgColor indexed="64"/>
      </patternFill>
    </fill>
    <fill>
      <patternFill patternType="solid">
        <fgColor theme="7" tint="-0.499984740745262"/>
        <bgColor indexed="64"/>
      </patternFill>
    </fill>
    <fill>
      <patternFill patternType="solid">
        <fgColor theme="0" tint="-4.9989318521683403E-2"/>
        <bgColor indexed="64"/>
      </patternFill>
    </fill>
    <fill>
      <patternFill patternType="solid">
        <fgColor theme="0"/>
        <bgColor indexed="64"/>
      </patternFill>
    </fill>
  </fills>
  <borders count="71">
    <border>
      <left/>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medium">
        <color indexed="64"/>
      </right>
      <top style="medium">
        <color indexed="64"/>
      </top>
      <bottom style="thin">
        <color auto="1"/>
      </bottom>
      <diagonal/>
    </border>
    <border>
      <left/>
      <right/>
      <top style="thin">
        <color auto="1"/>
      </top>
      <bottom/>
      <diagonal/>
    </border>
    <border>
      <left style="medium">
        <color indexed="64"/>
      </left>
      <right/>
      <top style="medium">
        <color indexed="64"/>
      </top>
      <bottom/>
      <diagonal/>
    </border>
    <border>
      <left style="medium">
        <color indexed="64"/>
      </left>
      <right style="thin">
        <color indexed="64"/>
      </right>
      <top style="hair">
        <color indexed="64"/>
      </top>
      <bottom style="hair">
        <color indexed="64"/>
      </bottom>
      <diagonal/>
    </border>
    <border>
      <left style="thin">
        <color indexed="64"/>
      </left>
      <right style="medium">
        <color auto="1"/>
      </right>
      <top style="hair">
        <color indexed="64"/>
      </top>
      <bottom style="hair">
        <color indexed="64"/>
      </bottom>
      <diagonal/>
    </border>
    <border>
      <left style="medium">
        <color indexed="64"/>
      </left>
      <right style="thin">
        <color indexed="64"/>
      </right>
      <top style="hair">
        <color indexed="64"/>
      </top>
      <bottom style="medium">
        <color auto="1"/>
      </bottom>
      <diagonal/>
    </border>
    <border>
      <left style="thin">
        <color indexed="64"/>
      </left>
      <right style="medium">
        <color auto="1"/>
      </right>
      <top style="hair">
        <color indexed="64"/>
      </top>
      <bottom style="medium">
        <color auto="1"/>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auto="1"/>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auto="1"/>
      </right>
      <top style="hair">
        <color indexed="64"/>
      </top>
      <bottom style="hair">
        <color indexed="64"/>
      </bottom>
      <diagonal/>
    </border>
    <border>
      <left style="thin">
        <color indexed="64"/>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medium">
        <color indexed="64"/>
      </left>
      <right style="thin">
        <color indexed="64"/>
      </right>
      <top/>
      <bottom style="hair">
        <color indexed="64"/>
      </bottom>
      <diagonal/>
    </border>
    <border>
      <left style="thin">
        <color indexed="64"/>
      </left>
      <right style="medium">
        <color auto="1"/>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medium">
        <color auto="1"/>
      </right>
      <top/>
      <bottom style="hair">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auto="1"/>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style="medium">
        <color indexed="64"/>
      </top>
      <bottom style="double">
        <color indexed="64"/>
      </bottom>
      <diagonal/>
    </border>
    <border>
      <left/>
      <right style="medium">
        <color auto="1"/>
      </right>
      <top style="medium">
        <color indexed="64"/>
      </top>
      <bottom style="double">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medium">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medium">
        <color auto="1"/>
      </right>
      <top/>
      <bottom style="double">
        <color indexed="64"/>
      </bottom>
      <diagonal/>
    </border>
    <border>
      <left/>
      <right style="medium">
        <color auto="1"/>
      </right>
      <top style="thin">
        <color indexed="64"/>
      </top>
      <bottom/>
      <diagonal/>
    </border>
    <border>
      <left style="medium">
        <color indexed="64"/>
      </left>
      <right style="thin">
        <color indexed="64"/>
      </right>
      <top style="double">
        <color indexed="64"/>
      </top>
      <bottom style="hair">
        <color indexed="64"/>
      </bottom>
      <diagonal/>
    </border>
    <border>
      <left style="thin">
        <color indexed="64"/>
      </left>
      <right style="medium">
        <color auto="1"/>
      </right>
      <top style="double">
        <color indexed="64"/>
      </top>
      <bottom style="hair">
        <color indexed="64"/>
      </bottom>
      <diagonal/>
    </border>
    <border>
      <left/>
      <right/>
      <top/>
      <bottom style="double">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top/>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double">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top style="medium">
        <color indexed="64"/>
      </top>
      <bottom style="medium">
        <color indexed="64"/>
      </bottom>
      <diagonal/>
    </border>
    <border>
      <left/>
      <right style="thin">
        <color indexed="64"/>
      </right>
      <top/>
      <bottom/>
      <diagonal/>
    </border>
    <border>
      <left/>
      <right style="thin">
        <color indexed="64"/>
      </right>
      <top style="medium">
        <color auto="1"/>
      </top>
      <bottom/>
      <diagonal/>
    </border>
    <border>
      <left/>
      <right style="thin">
        <color indexed="64"/>
      </right>
      <top/>
      <bottom style="thin">
        <color indexed="64"/>
      </bottom>
      <diagonal/>
    </border>
    <border>
      <left/>
      <right style="thin">
        <color indexed="64"/>
      </right>
      <top style="thin">
        <color indexed="64"/>
      </top>
      <bottom style="medium">
        <color auto="1"/>
      </bottom>
      <diagonal/>
    </border>
    <border>
      <left style="medium">
        <color indexed="64"/>
      </left>
      <right style="medium">
        <color auto="1"/>
      </right>
      <top style="hair">
        <color indexed="64"/>
      </top>
      <bottom style="medium">
        <color auto="1"/>
      </bottom>
      <diagonal/>
    </border>
    <border>
      <left style="medium">
        <color indexed="64"/>
      </left>
      <right/>
      <top style="hair">
        <color indexed="64"/>
      </top>
      <bottom style="medium">
        <color auto="1"/>
      </bottom>
      <diagonal/>
    </border>
    <border>
      <left/>
      <right/>
      <top style="double">
        <color indexed="64"/>
      </top>
      <bottom/>
      <diagonal/>
    </border>
    <border>
      <left style="thin">
        <color indexed="64"/>
      </left>
      <right style="thin">
        <color indexed="64"/>
      </right>
      <top style="double">
        <color indexed="64"/>
      </top>
      <bottom style="hair">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25">
    <xf numFmtId="0" fontId="0" fillId="0" borderId="0" xfId="0"/>
    <xf numFmtId="0" fontId="2" fillId="0" borderId="0" xfId="0" applyFont="1"/>
    <xf numFmtId="164" fontId="4" fillId="3" borderId="0" xfId="1" applyNumberFormat="1" applyFont="1" applyFill="1" applyBorder="1"/>
    <xf numFmtId="165" fontId="4" fillId="3" borderId="0" xfId="2" applyNumberFormat="1" applyFont="1" applyFill="1" applyBorder="1"/>
    <xf numFmtId="164" fontId="4" fillId="3" borderId="0" xfId="1" applyNumberFormat="1" applyFont="1" applyFill="1" applyBorder="1" applyAlignment="1">
      <alignment horizontal="right"/>
    </xf>
    <xf numFmtId="164" fontId="4" fillId="3" borderId="0" xfId="1" applyNumberFormat="1" applyFont="1" applyFill="1" applyBorder="1" applyAlignment="1">
      <alignment horizontal="center"/>
    </xf>
    <xf numFmtId="165" fontId="4" fillId="3" borderId="0" xfId="2" applyNumberFormat="1" applyFont="1" applyFill="1" applyBorder="1" applyAlignment="1">
      <alignment horizontal="center"/>
    </xf>
    <xf numFmtId="164" fontId="4" fillId="3" borderId="1" xfId="1" applyNumberFormat="1" applyFont="1" applyFill="1" applyBorder="1"/>
    <xf numFmtId="9" fontId="4" fillId="3" borderId="1" xfId="2" applyFont="1" applyFill="1" applyBorder="1"/>
    <xf numFmtId="164" fontId="4" fillId="3" borderId="2" xfId="1" applyNumberFormat="1" applyFont="1" applyFill="1" applyBorder="1"/>
    <xf numFmtId="9" fontId="4" fillId="3" borderId="2" xfId="2" applyFont="1" applyFill="1" applyBorder="1"/>
    <xf numFmtId="164" fontId="4" fillId="3" borderId="3" xfId="1" applyNumberFormat="1" applyFont="1" applyFill="1" applyBorder="1"/>
    <xf numFmtId="9" fontId="4" fillId="3" borderId="3" xfId="2" applyFont="1" applyFill="1" applyBorder="1"/>
    <xf numFmtId="0" fontId="4" fillId="3" borderId="0" xfId="0" applyFont="1" applyFill="1" applyAlignment="1">
      <alignment horizontal="center"/>
    </xf>
    <xf numFmtId="0" fontId="4" fillId="3" borderId="0" xfId="0" applyFont="1" applyFill="1"/>
    <xf numFmtId="0" fontId="3" fillId="2" borderId="4" xfId="0" applyFont="1" applyFill="1" applyBorder="1"/>
    <xf numFmtId="0" fontId="0" fillId="2" borderId="5" xfId="0" applyFill="1" applyBorder="1"/>
    <xf numFmtId="0" fontId="4" fillId="3" borderId="8" xfId="0" applyFont="1" applyFill="1" applyBorder="1"/>
    <xf numFmtId="0" fontId="0" fillId="3" borderId="0" xfId="0" applyFill="1"/>
    <xf numFmtId="0" fontId="4" fillId="3" borderId="8" xfId="0" applyFont="1" applyFill="1" applyBorder="1" applyAlignment="1">
      <alignment horizontal="center"/>
    </xf>
    <xf numFmtId="0" fontId="4" fillId="3" borderId="9" xfId="0" applyFont="1" applyFill="1" applyBorder="1" applyAlignment="1">
      <alignment horizontal="center"/>
    </xf>
    <xf numFmtId="0" fontId="4" fillId="3" borderId="9" xfId="0" applyFont="1" applyFill="1" applyBorder="1"/>
    <xf numFmtId="0" fontId="4" fillId="3" borderId="10" xfId="0" applyFont="1" applyFill="1" applyBorder="1"/>
    <xf numFmtId="0" fontId="4" fillId="3" borderId="11" xfId="0" applyFont="1" applyFill="1" applyBorder="1"/>
    <xf numFmtId="0" fontId="0" fillId="2" borderId="13" xfId="0" applyFill="1" applyBorder="1"/>
    <xf numFmtId="0" fontId="4" fillId="3" borderId="14" xfId="0" applyFont="1" applyFill="1" applyBorder="1"/>
    <xf numFmtId="0" fontId="0" fillId="3" borderId="14" xfId="0" applyFill="1" applyBorder="1"/>
    <xf numFmtId="0" fontId="0" fillId="3" borderId="9" xfId="0" applyFill="1" applyBorder="1"/>
    <xf numFmtId="0" fontId="0" fillId="3" borderId="11" xfId="0" applyFill="1" applyBorder="1"/>
    <xf numFmtId="0" fontId="0" fillId="3" borderId="12" xfId="0" applyFill="1" applyBorder="1"/>
    <xf numFmtId="44" fontId="0" fillId="0" borderId="0" xfId="0" applyNumberFormat="1"/>
    <xf numFmtId="1" fontId="0" fillId="0" borderId="0" xfId="0" applyNumberFormat="1"/>
    <xf numFmtId="0" fontId="5" fillId="0" borderId="0" xfId="0" applyFont="1" applyAlignment="1">
      <alignment horizontal="right"/>
    </xf>
    <xf numFmtId="0" fontId="0" fillId="0" borderId="0" xfId="0" applyAlignment="1">
      <alignment horizontal="center"/>
    </xf>
    <xf numFmtId="0" fontId="0" fillId="0" borderId="16" xfId="0" applyBorder="1"/>
    <xf numFmtId="0" fontId="0" fillId="0" borderId="16" xfId="0" applyBorder="1" applyAlignment="1">
      <alignment wrapText="1"/>
    </xf>
    <xf numFmtId="0" fontId="0" fillId="0" borderId="18" xfId="0" applyBorder="1"/>
    <xf numFmtId="0" fontId="0" fillId="0" borderId="20" xfId="0" applyBorder="1"/>
    <xf numFmtId="0" fontId="0" fillId="0" borderId="18" xfId="0" applyBorder="1" applyAlignment="1">
      <alignment wrapText="1"/>
    </xf>
    <xf numFmtId="0" fontId="0" fillId="0" borderId="21" xfId="0" applyBorder="1"/>
    <xf numFmtId="44" fontId="0" fillId="4" borderId="20" xfId="0" applyNumberFormat="1" applyFill="1" applyBorder="1"/>
    <xf numFmtId="0" fontId="0" fillId="0" borderId="22" xfId="0" applyBorder="1"/>
    <xf numFmtId="0" fontId="0" fillId="0" borderId="23" xfId="0" applyBorder="1"/>
    <xf numFmtId="0" fontId="0" fillId="0" borderId="24" xfId="0" applyBorder="1"/>
    <xf numFmtId="9" fontId="0" fillId="4" borderId="16" xfId="0" applyNumberFormat="1" applyFill="1" applyBorder="1"/>
    <xf numFmtId="1" fontId="0" fillId="4" borderId="20" xfId="0" applyNumberFormat="1" applyFill="1" applyBorder="1"/>
    <xf numFmtId="44" fontId="0" fillId="4" borderId="17" xfId="0" applyNumberFormat="1" applyFill="1" applyBorder="1"/>
    <xf numFmtId="9" fontId="2" fillId="0" borderId="16" xfId="0" applyNumberFormat="1" applyFont="1" applyBorder="1" applyAlignment="1">
      <alignment horizontal="right"/>
    </xf>
    <xf numFmtId="1" fontId="2" fillId="0" borderId="20" xfId="0" applyNumberFormat="1" applyFont="1" applyBorder="1"/>
    <xf numFmtId="44" fontId="0" fillId="0" borderId="17" xfId="0" applyNumberFormat="1" applyBorder="1"/>
    <xf numFmtId="9" fontId="0" fillId="0" borderId="16" xfId="0" applyNumberFormat="1" applyBorder="1" applyAlignment="1">
      <alignment horizontal="right"/>
    </xf>
    <xf numFmtId="9" fontId="2" fillId="0" borderId="18" xfId="0" applyNumberFormat="1" applyFont="1" applyBorder="1" applyAlignment="1">
      <alignment horizontal="right"/>
    </xf>
    <xf numFmtId="1" fontId="2" fillId="0" borderId="21" xfId="0" applyNumberFormat="1" applyFont="1" applyBorder="1"/>
    <xf numFmtId="44" fontId="0" fillId="0" borderId="19" xfId="0" applyNumberFormat="1" applyBorder="1"/>
    <xf numFmtId="0" fontId="0" fillId="3" borderId="7" xfId="0" applyFill="1" applyBorder="1"/>
    <xf numFmtId="9" fontId="0" fillId="3" borderId="9" xfId="0" applyNumberFormat="1" applyFill="1" applyBorder="1"/>
    <xf numFmtId="0" fontId="0" fillId="3" borderId="8" xfId="0" applyFill="1" applyBorder="1"/>
    <xf numFmtId="9" fontId="0" fillId="3" borderId="8" xfId="0" applyNumberFormat="1" applyFill="1" applyBorder="1"/>
    <xf numFmtId="0" fontId="0" fillId="3" borderId="10" xfId="0" applyFill="1" applyBorder="1"/>
    <xf numFmtId="0" fontId="0" fillId="3" borderId="6" xfId="0" applyFill="1" applyBorder="1"/>
    <xf numFmtId="44" fontId="0" fillId="3" borderId="0" xfId="0" applyNumberFormat="1" applyFill="1"/>
    <xf numFmtId="44" fontId="0" fillId="3" borderId="9" xfId="0" applyNumberFormat="1" applyFill="1" applyBorder="1"/>
    <xf numFmtId="9" fontId="2" fillId="3" borderId="8" xfId="0" applyNumberFormat="1" applyFont="1" applyFill="1" applyBorder="1" applyAlignment="1">
      <alignment horizontal="right"/>
    </xf>
    <xf numFmtId="0" fontId="6" fillId="3" borderId="15" xfId="0" applyFont="1" applyFill="1" applyBorder="1"/>
    <xf numFmtId="0" fontId="2" fillId="3" borderId="15" xfId="0" applyFont="1" applyFill="1" applyBorder="1"/>
    <xf numFmtId="0" fontId="2" fillId="3" borderId="6" xfId="0" applyFont="1" applyFill="1" applyBorder="1"/>
    <xf numFmtId="0" fontId="2" fillId="3" borderId="7" xfId="0" applyFont="1" applyFill="1" applyBorder="1"/>
    <xf numFmtId="0" fontId="5" fillId="0" borderId="28" xfId="0" applyFont="1" applyBorder="1"/>
    <xf numFmtId="1" fontId="0" fillId="4" borderId="20" xfId="0" quotePrefix="1" applyNumberFormat="1" applyFill="1" applyBorder="1"/>
    <xf numFmtId="0" fontId="0" fillId="0" borderId="28" xfId="0" applyBorder="1"/>
    <xf numFmtId="0" fontId="5" fillId="0" borderId="28" xfId="0" applyFont="1" applyBorder="1" applyAlignment="1">
      <alignment wrapText="1"/>
    </xf>
    <xf numFmtId="0" fontId="0" fillId="0" borderId="31" xfId="0" applyBorder="1"/>
    <xf numFmtId="0" fontId="0" fillId="0" borderId="32" xfId="0" applyBorder="1"/>
    <xf numFmtId="0" fontId="0" fillId="0" borderId="33" xfId="0" applyBorder="1"/>
    <xf numFmtId="9" fontId="0" fillId="4" borderId="28" xfId="0" applyNumberFormat="1" applyFill="1" applyBorder="1"/>
    <xf numFmtId="1" fontId="0" fillId="4" borderId="30" xfId="0" applyNumberFormat="1" applyFill="1" applyBorder="1"/>
    <xf numFmtId="44" fontId="0" fillId="4" borderId="29" xfId="0" applyNumberFormat="1" applyFill="1" applyBorder="1"/>
    <xf numFmtId="44" fontId="0" fillId="0" borderId="29" xfId="0" applyNumberFormat="1" applyBorder="1"/>
    <xf numFmtId="0" fontId="2" fillId="0" borderId="34" xfId="0" applyFont="1" applyBorder="1"/>
    <xf numFmtId="0" fontId="0" fillId="0" borderId="37" xfId="0" applyBorder="1"/>
    <xf numFmtId="0" fontId="0" fillId="0" borderId="38" xfId="0" applyBorder="1"/>
    <xf numFmtId="0" fontId="2" fillId="0" borderId="34" xfId="0" applyFont="1" applyBorder="1" applyAlignment="1">
      <alignment wrapText="1"/>
    </xf>
    <xf numFmtId="44" fontId="2" fillId="0" borderId="35" xfId="0" applyNumberFormat="1" applyFont="1" applyBorder="1"/>
    <xf numFmtId="44" fontId="2" fillId="0" borderId="36" xfId="0" applyNumberFormat="1" applyFont="1" applyBorder="1"/>
    <xf numFmtId="0" fontId="0" fillId="0" borderId="35" xfId="0" applyBorder="1"/>
    <xf numFmtId="10" fontId="2" fillId="0" borderId="20" xfId="0" applyNumberFormat="1" applyFont="1" applyBorder="1"/>
    <xf numFmtId="1" fontId="2" fillId="0" borderId="19" xfId="0" applyNumberFormat="1" applyFont="1" applyBorder="1"/>
    <xf numFmtId="44" fontId="2" fillId="0" borderId="17" xfId="0" applyNumberFormat="1" applyFont="1" applyBorder="1"/>
    <xf numFmtId="44" fontId="0" fillId="0" borderId="21" xfId="0" applyNumberFormat="1" applyBorder="1"/>
    <xf numFmtId="44" fontId="0" fillId="4" borderId="30" xfId="0" applyNumberFormat="1" applyFill="1" applyBorder="1"/>
    <xf numFmtId="0" fontId="2" fillId="0" borderId="36" xfId="0" applyFont="1" applyBorder="1" applyAlignment="1">
      <alignment horizontal="center"/>
    </xf>
    <xf numFmtId="44" fontId="2" fillId="3" borderId="14" xfId="0" applyNumberFormat="1" applyFont="1" applyFill="1" applyBorder="1" applyAlignment="1">
      <alignment horizontal="right"/>
    </xf>
    <xf numFmtId="44" fontId="2" fillId="3" borderId="14" xfId="0" applyNumberFormat="1" applyFont="1" applyFill="1" applyBorder="1"/>
    <xf numFmtId="44" fontId="2" fillId="3" borderId="44" xfId="0" applyNumberFormat="1" applyFont="1" applyFill="1" applyBorder="1"/>
    <xf numFmtId="44" fontId="5" fillId="0" borderId="17" xfId="0" applyNumberFormat="1" applyFont="1" applyBorder="1"/>
    <xf numFmtId="0" fontId="5" fillId="0" borderId="20" xfId="0" applyFont="1" applyBorder="1"/>
    <xf numFmtId="9" fontId="0" fillId="0" borderId="20" xfId="0" applyNumberFormat="1" applyBorder="1"/>
    <xf numFmtId="10" fontId="0" fillId="0" borderId="20" xfId="0" applyNumberFormat="1" applyBorder="1"/>
    <xf numFmtId="166" fontId="0" fillId="4" borderId="20" xfId="0" applyNumberFormat="1" applyFill="1" applyBorder="1" applyAlignment="1">
      <alignment horizontal="center"/>
    </xf>
    <xf numFmtId="166" fontId="0" fillId="4" borderId="20" xfId="0" applyNumberFormat="1" applyFill="1" applyBorder="1"/>
    <xf numFmtId="166" fontId="0" fillId="0" borderId="17" xfId="0" applyNumberFormat="1" applyBorder="1"/>
    <xf numFmtId="9" fontId="5" fillId="0" borderId="20" xfId="0" applyNumberFormat="1" applyFont="1" applyBorder="1"/>
    <xf numFmtId="0" fontId="18" fillId="0" borderId="0" xfId="0" applyFont="1" applyAlignment="1">
      <alignment vertical="top"/>
    </xf>
    <xf numFmtId="0" fontId="19" fillId="0" borderId="0" xfId="0" applyFont="1" applyAlignment="1">
      <alignment vertical="top"/>
    </xf>
    <xf numFmtId="0" fontId="5" fillId="0" borderId="59" xfId="0" applyFont="1" applyBorder="1" applyAlignment="1">
      <alignment horizontal="center" vertical="top"/>
    </xf>
    <xf numFmtId="0" fontId="2" fillId="0" borderId="11" xfId="0" applyFont="1" applyBorder="1" applyAlignment="1">
      <alignment horizontal="right"/>
    </xf>
    <xf numFmtId="0" fontId="5" fillId="0" borderId="30" xfId="0" applyFont="1" applyBorder="1"/>
    <xf numFmtId="44" fontId="5" fillId="0" borderId="29" xfId="0" applyNumberFormat="1" applyFont="1" applyBorder="1"/>
    <xf numFmtId="0" fontId="2" fillId="0" borderId="36" xfId="0" applyFont="1" applyBorder="1" applyAlignment="1">
      <alignment wrapText="1"/>
    </xf>
    <xf numFmtId="44" fontId="2" fillId="0" borderId="37" xfId="0" applyNumberFormat="1" applyFont="1" applyBorder="1"/>
    <xf numFmtId="0" fontId="5" fillId="0" borderId="45" xfId="0" applyFont="1" applyBorder="1"/>
    <xf numFmtId="0" fontId="15" fillId="0" borderId="0" xfId="0" applyFont="1" applyAlignment="1">
      <alignment vertical="top"/>
    </xf>
    <xf numFmtId="0" fontId="5" fillId="0" borderId="0" xfId="0" applyFont="1" applyAlignment="1">
      <alignment vertical="top" wrapText="1"/>
    </xf>
    <xf numFmtId="0" fontId="5" fillId="0" borderId="0" xfId="0" applyFont="1" applyAlignment="1">
      <alignment vertical="top"/>
    </xf>
    <xf numFmtId="0" fontId="20" fillId="0" borderId="0" xfId="0" applyFont="1" applyAlignment="1">
      <alignment vertical="top"/>
    </xf>
    <xf numFmtId="0" fontId="2" fillId="0" borderId="15" xfId="0" applyFont="1" applyBorder="1" applyAlignment="1">
      <alignment vertical="top"/>
    </xf>
    <xf numFmtId="0" fontId="2" fillId="0" borderId="48" xfId="0" applyFont="1" applyBorder="1" applyAlignment="1">
      <alignment horizontal="center" vertical="top" wrapText="1"/>
    </xf>
    <xf numFmtId="0" fontId="2" fillId="0" borderId="49" xfId="0" applyFont="1" applyBorder="1" applyAlignment="1">
      <alignment horizontal="center" vertical="top"/>
    </xf>
    <xf numFmtId="0" fontId="2" fillId="0" borderId="8" xfId="0" applyFont="1" applyBorder="1" applyAlignment="1">
      <alignment vertical="top"/>
    </xf>
    <xf numFmtId="0" fontId="2" fillId="0" borderId="0" xfId="0" applyFont="1" applyAlignment="1">
      <alignment vertical="top"/>
    </xf>
    <xf numFmtId="0" fontId="2" fillId="0" borderId="63" xfId="0" applyFont="1" applyBorder="1" applyAlignment="1">
      <alignment vertical="top"/>
    </xf>
    <xf numFmtId="0" fontId="2" fillId="0" borderId="50" xfId="0" applyFont="1" applyBorder="1" applyAlignment="1">
      <alignment horizontal="center" vertical="top"/>
    </xf>
    <xf numFmtId="0" fontId="2" fillId="0" borderId="51" xfId="0" applyFont="1" applyBorder="1" applyAlignment="1">
      <alignment horizontal="center" vertical="top"/>
    </xf>
    <xf numFmtId="0" fontId="2" fillId="0" borderId="52" xfId="0" applyFont="1" applyBorder="1" applyAlignment="1">
      <alignment horizontal="center" vertical="top"/>
    </xf>
    <xf numFmtId="0" fontId="2" fillId="0" borderId="53" xfId="0" applyFont="1" applyBorder="1" applyAlignment="1">
      <alignment horizontal="center" vertical="top"/>
    </xf>
    <xf numFmtId="0" fontId="13" fillId="0" borderId="60" xfId="0" applyFont="1" applyBorder="1" applyAlignment="1">
      <alignment vertical="top"/>
    </xf>
    <xf numFmtId="0" fontId="13" fillId="0" borderId="61" xfId="0" applyFont="1" applyBorder="1" applyAlignment="1">
      <alignment vertical="top"/>
    </xf>
    <xf numFmtId="0" fontId="13" fillId="0" borderId="65" xfId="0" applyFont="1" applyBorder="1" applyAlignment="1">
      <alignment vertical="top"/>
    </xf>
    <xf numFmtId="0" fontId="2" fillId="0" borderId="54" xfId="0" applyFont="1" applyBorder="1" applyAlignment="1">
      <alignment horizontal="center" vertical="top"/>
    </xf>
    <xf numFmtId="0" fontId="14" fillId="4" borderId="55" xfId="0" applyFont="1" applyFill="1" applyBorder="1" applyAlignment="1">
      <alignment horizontal="center" vertical="top"/>
    </xf>
    <xf numFmtId="0" fontId="14" fillId="0" borderId="0" xfId="0" applyFont="1" applyAlignment="1">
      <alignment vertical="top"/>
    </xf>
    <xf numFmtId="0" fontId="2" fillId="0" borderId="10" xfId="0" applyFont="1" applyBorder="1" applyAlignment="1">
      <alignment horizontal="right" vertical="top"/>
    </xf>
    <xf numFmtId="0" fontId="2" fillId="0" borderId="11" xfId="0" applyFont="1" applyBorder="1" applyAlignment="1">
      <alignment horizontal="right" vertical="top"/>
    </xf>
    <xf numFmtId="0" fontId="2" fillId="0" borderId="66" xfId="0" applyFont="1" applyBorder="1" applyAlignment="1">
      <alignment horizontal="right" vertical="top"/>
    </xf>
    <xf numFmtId="0" fontId="2" fillId="0" borderId="56" xfId="0" applyFont="1" applyBorder="1" applyAlignment="1">
      <alignment horizontal="center" vertical="top"/>
    </xf>
    <xf numFmtId="0" fontId="2" fillId="0" borderId="57" xfId="0" applyFont="1" applyBorder="1" applyAlignment="1">
      <alignment horizontal="center" vertical="top"/>
    </xf>
    <xf numFmtId="0" fontId="2" fillId="0" borderId="58" xfId="0" applyFont="1" applyBorder="1" applyAlignment="1">
      <alignment vertical="top"/>
    </xf>
    <xf numFmtId="0" fontId="2" fillId="0" borderId="37" xfId="0" applyFont="1" applyBorder="1" applyAlignment="1">
      <alignment vertical="top"/>
    </xf>
    <xf numFmtId="0" fontId="2" fillId="0" borderId="37" xfId="0" applyFont="1" applyBorder="1" applyAlignment="1">
      <alignment horizontal="right" vertical="top"/>
    </xf>
    <xf numFmtId="0" fontId="5" fillId="0" borderId="38" xfId="0" applyFont="1" applyBorder="1" applyAlignment="1">
      <alignment horizontal="center" vertical="top"/>
    </xf>
    <xf numFmtId="0" fontId="2" fillId="0" borderId="0" xfId="0" applyFont="1" applyAlignment="1">
      <alignment horizontal="right" vertical="top"/>
    </xf>
    <xf numFmtId="0" fontId="5" fillId="0" borderId="9" xfId="0" applyFont="1" applyBorder="1" applyAlignment="1">
      <alignment horizontal="center" vertical="top"/>
    </xf>
    <xf numFmtId="0" fontId="5" fillId="0" borderId="8" xfId="0" applyFont="1" applyBorder="1" applyAlignment="1">
      <alignment vertical="top"/>
    </xf>
    <xf numFmtId="0" fontId="5" fillId="4" borderId="59" xfId="0" applyFont="1" applyFill="1" applyBorder="1" applyAlignment="1">
      <alignment horizontal="center" vertical="top"/>
    </xf>
    <xf numFmtId="0" fontId="5" fillId="0" borderId="9" xfId="0" applyFont="1" applyBorder="1" applyAlignment="1">
      <alignment vertical="top"/>
    </xf>
    <xf numFmtId="0" fontId="5" fillId="0" borderId="10" xfId="0" applyFont="1" applyBorder="1" applyAlignment="1">
      <alignment vertical="top"/>
    </xf>
    <xf numFmtId="0" fontId="5" fillId="0" borderId="11" xfId="0" applyFont="1" applyBorder="1" applyAlignment="1">
      <alignment vertical="top"/>
    </xf>
    <xf numFmtId="0" fontId="5" fillId="0" borderId="12" xfId="0" applyFont="1" applyBorder="1" applyAlignment="1">
      <alignment vertical="top"/>
    </xf>
    <xf numFmtId="0" fontId="2" fillId="0" borderId="60" xfId="0" applyFont="1" applyBorder="1" applyAlignment="1">
      <alignment vertical="top"/>
    </xf>
    <xf numFmtId="0" fontId="2" fillId="0" borderId="61" xfId="0" applyFont="1" applyBorder="1" applyAlignment="1">
      <alignment vertical="top" wrapText="1"/>
    </xf>
    <xf numFmtId="0" fontId="2" fillId="0" borderId="0" xfId="0" applyFont="1" applyAlignment="1">
      <alignment vertical="top" wrapText="1"/>
    </xf>
    <xf numFmtId="0" fontId="2" fillId="0" borderId="9" xfId="0" applyFont="1" applyBorder="1" applyAlignment="1">
      <alignment vertical="top"/>
    </xf>
    <xf numFmtId="0" fontId="5" fillId="0" borderId="9" xfId="0" applyFont="1" applyBorder="1" applyAlignment="1">
      <alignment vertical="top" wrapText="1"/>
    </xf>
    <xf numFmtId="0" fontId="2" fillId="0" borderId="34" xfId="0" applyFont="1" applyBorder="1" applyAlignment="1">
      <alignment horizontal="center" vertical="top"/>
    </xf>
    <xf numFmtId="0" fontId="2" fillId="0" borderId="35" xfId="0" applyFont="1" applyBorder="1" applyAlignment="1">
      <alignment horizontal="center" vertical="top" wrapText="1"/>
    </xf>
    <xf numFmtId="0" fontId="5" fillId="0" borderId="28" xfId="0" applyFont="1" applyBorder="1" applyAlignment="1">
      <alignment vertical="top"/>
    </xf>
    <xf numFmtId="0" fontId="5" fillId="0" borderId="29" xfId="0" applyFont="1" applyBorder="1" applyAlignment="1">
      <alignment vertical="top" wrapText="1"/>
    </xf>
    <xf numFmtId="0" fontId="5" fillId="0" borderId="16" xfId="0" applyFont="1" applyBorder="1" applyAlignment="1">
      <alignment vertical="top"/>
    </xf>
    <xf numFmtId="0" fontId="5" fillId="0" borderId="17" xfId="0" applyFont="1" applyBorder="1" applyAlignment="1">
      <alignment vertical="top" wrapText="1"/>
    </xf>
    <xf numFmtId="0" fontId="14" fillId="0" borderId="61" xfId="0" applyFont="1" applyBorder="1" applyAlignment="1">
      <alignment vertical="top"/>
    </xf>
    <xf numFmtId="0" fontId="5" fillId="0" borderId="61" xfId="0" applyFont="1" applyBorder="1" applyAlignment="1">
      <alignment vertical="top"/>
    </xf>
    <xf numFmtId="0" fontId="5" fillId="0" borderId="0" xfId="0" applyFont="1" applyAlignment="1">
      <alignment horizontal="center" vertical="top"/>
    </xf>
    <xf numFmtId="0" fontId="5" fillId="0" borderId="62" xfId="0" applyFont="1" applyBorder="1" applyAlignment="1">
      <alignment vertical="top"/>
    </xf>
    <xf numFmtId="0" fontId="2" fillId="0" borderId="38" xfId="0" applyFont="1" applyBorder="1" applyAlignment="1">
      <alignment horizontal="center" vertical="top"/>
    </xf>
    <xf numFmtId="0" fontId="16" fillId="0" borderId="63" xfId="0" applyFont="1" applyBorder="1" applyAlignment="1">
      <alignment horizontal="center" vertical="top" wrapText="1"/>
    </xf>
    <xf numFmtId="0" fontId="12" fillId="0" borderId="63" xfId="0" applyFont="1" applyBorder="1" applyAlignment="1">
      <alignment horizontal="center" vertical="top" wrapText="1"/>
    </xf>
    <xf numFmtId="0" fontId="12" fillId="0" borderId="0" xfId="0" applyFont="1" applyAlignment="1">
      <alignment horizontal="center" vertical="top" wrapText="1"/>
    </xf>
    <xf numFmtId="0" fontId="11" fillId="0" borderId="0" xfId="0" applyFont="1" applyAlignment="1">
      <alignment vertical="top" wrapText="1"/>
    </xf>
    <xf numFmtId="0" fontId="11" fillId="0" borderId="0" xfId="0" applyFont="1" applyAlignment="1">
      <alignment vertical="top"/>
    </xf>
    <xf numFmtId="0" fontId="5" fillId="4" borderId="55" xfId="0" applyFont="1" applyFill="1" applyBorder="1" applyAlignment="1">
      <alignment horizontal="center" vertical="top"/>
    </xf>
    <xf numFmtId="0" fontId="0" fillId="5" borderId="8" xfId="0" applyFill="1" applyBorder="1" applyAlignment="1">
      <alignment vertical="top"/>
    </xf>
    <xf numFmtId="0" fontId="0" fillId="5" borderId="0" xfId="0" applyFill="1" applyAlignment="1">
      <alignment vertical="top"/>
    </xf>
    <xf numFmtId="0" fontId="0" fillId="5" borderId="9" xfId="0" applyFill="1" applyBorder="1" applyAlignment="1">
      <alignment vertical="top"/>
    </xf>
    <xf numFmtId="0" fontId="2" fillId="5" borderId="0" xfId="0" applyFont="1" applyFill="1" applyAlignment="1">
      <alignment vertical="top"/>
    </xf>
    <xf numFmtId="0" fontId="2" fillId="5" borderId="9" xfId="0" applyFont="1" applyFill="1" applyBorder="1" applyAlignment="1">
      <alignment vertical="top"/>
    </xf>
    <xf numFmtId="49" fontId="0" fillId="5" borderId="0" xfId="0" applyNumberFormat="1" applyFill="1" applyAlignment="1">
      <alignment vertical="top"/>
    </xf>
    <xf numFmtId="0" fontId="0" fillId="5" borderId="10" xfId="0" applyFill="1" applyBorder="1" applyAlignment="1">
      <alignment vertical="top"/>
    </xf>
    <xf numFmtId="0" fontId="0" fillId="5" borderId="11" xfId="0" applyFill="1" applyBorder="1" applyAlignment="1">
      <alignment vertical="top"/>
    </xf>
    <xf numFmtId="0" fontId="0" fillId="5" borderId="12" xfId="0" applyFill="1" applyBorder="1" applyAlignment="1">
      <alignment vertical="top"/>
    </xf>
    <xf numFmtId="0" fontId="5" fillId="0" borderId="0" xfId="0" applyFont="1" applyAlignment="1">
      <alignment horizontal="right" vertical="top"/>
    </xf>
    <xf numFmtId="0" fontId="5" fillId="0" borderId="0" xfId="0" applyFont="1" applyAlignment="1">
      <alignment horizontal="left" vertical="top" wrapText="1"/>
    </xf>
    <xf numFmtId="0" fontId="2" fillId="0" borderId="0" xfId="0" applyFont="1" applyAlignment="1">
      <alignment horizontal="left" vertical="top"/>
    </xf>
    <xf numFmtId="0" fontId="5" fillId="0" borderId="0" xfId="0" applyFont="1" applyAlignment="1">
      <alignment horizontal="left" vertical="top" indent="2"/>
    </xf>
    <xf numFmtId="49" fontId="5" fillId="0" borderId="8" xfId="0" applyNumberFormat="1" applyFont="1" applyBorder="1" applyAlignment="1">
      <alignment vertical="top"/>
    </xf>
    <xf numFmtId="49" fontId="2" fillId="0" borderId="8" xfId="0" applyNumberFormat="1" applyFont="1" applyBorder="1" applyAlignment="1">
      <alignment horizontal="right" vertical="top"/>
    </xf>
    <xf numFmtId="49" fontId="2" fillId="0" borderId="0" xfId="0" applyNumberFormat="1" applyFont="1" applyAlignment="1">
      <alignment horizontal="right" vertical="top"/>
    </xf>
    <xf numFmtId="0" fontId="2" fillId="0" borderId="8" xfId="0" applyFont="1" applyBorder="1" applyAlignment="1">
      <alignment vertical="top" wrapText="1"/>
    </xf>
    <xf numFmtId="0" fontId="5" fillId="0" borderId="68" xfId="0" applyFont="1" applyBorder="1" applyAlignment="1">
      <alignment vertical="top"/>
    </xf>
    <xf numFmtId="0" fontId="5" fillId="0" borderId="67" xfId="0" applyFont="1" applyBorder="1" applyAlignment="1">
      <alignment vertical="top" wrapText="1"/>
    </xf>
    <xf numFmtId="0" fontId="23" fillId="0" borderId="9" xfId="0" applyFont="1" applyBorder="1" applyAlignment="1">
      <alignment horizontal="center" vertical="top" wrapText="1"/>
    </xf>
    <xf numFmtId="9" fontId="0" fillId="4" borderId="30" xfId="0" applyNumberFormat="1" applyFill="1" applyBorder="1" applyAlignment="1">
      <alignment horizontal="right"/>
    </xf>
    <xf numFmtId="0" fontId="0" fillId="0" borderId="15"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2" xfId="0" applyBorder="1"/>
    <xf numFmtId="10" fontId="2" fillId="0" borderId="11" xfId="2" applyNumberFormat="1" applyFont="1" applyBorder="1"/>
    <xf numFmtId="167" fontId="0" fillId="0" borderId="6" xfId="0" applyNumberFormat="1" applyBorder="1"/>
    <xf numFmtId="0" fontId="5" fillId="0" borderId="6" xfId="0" applyFont="1" applyBorder="1" applyAlignment="1">
      <alignment horizontal="right"/>
    </xf>
    <xf numFmtId="167" fontId="0" fillId="0" borderId="11" xfId="0" applyNumberFormat="1" applyBorder="1"/>
    <xf numFmtId="0" fontId="2" fillId="3" borderId="47" xfId="0" applyFont="1" applyFill="1" applyBorder="1"/>
    <xf numFmtId="44" fontId="2" fillId="3" borderId="47" xfId="0" applyNumberFormat="1" applyFont="1" applyFill="1" applyBorder="1"/>
    <xf numFmtId="0" fontId="0" fillId="0" borderId="69" xfId="0" applyBorder="1"/>
    <xf numFmtId="0" fontId="2" fillId="7" borderId="47" xfId="0" applyFont="1" applyFill="1" applyBorder="1"/>
    <xf numFmtId="44" fontId="2" fillId="7" borderId="47" xfId="0" applyNumberFormat="1" applyFont="1" applyFill="1" applyBorder="1"/>
    <xf numFmtId="0" fontId="0" fillId="7" borderId="47" xfId="0" applyFill="1" applyBorder="1"/>
    <xf numFmtId="0" fontId="5" fillId="0" borderId="31" xfId="0" applyFont="1" applyBorder="1"/>
    <xf numFmtId="166" fontId="0" fillId="0" borderId="19" xfId="0" applyNumberFormat="1" applyBorder="1"/>
    <xf numFmtId="0" fontId="2" fillId="0" borderId="18" xfId="0" applyFont="1" applyBorder="1"/>
    <xf numFmtId="10" fontId="2" fillId="0" borderId="21" xfId="0" applyNumberFormat="1" applyFont="1" applyBorder="1"/>
    <xf numFmtId="44" fontId="2" fillId="0" borderId="19" xfId="0" applyNumberFormat="1" applyFont="1" applyBorder="1"/>
    <xf numFmtId="0" fontId="8" fillId="0" borderId="18" xfId="0" applyFont="1" applyBorder="1" applyAlignment="1">
      <alignment vertical="top" wrapText="1"/>
    </xf>
    <xf numFmtId="0" fontId="2" fillId="0" borderId="42" xfId="0" applyFont="1" applyBorder="1" applyAlignment="1">
      <alignment horizontal="center"/>
    </xf>
    <xf numFmtId="0" fontId="2" fillId="0" borderId="43" xfId="0" applyFont="1" applyBorder="1" applyAlignment="1">
      <alignment horizontal="center"/>
    </xf>
    <xf numFmtId="1" fontId="0" fillId="0" borderId="17" xfId="0" applyNumberFormat="1" applyBorder="1" applyAlignment="1">
      <alignment horizontal="center"/>
    </xf>
    <xf numFmtId="1" fontId="2" fillId="0" borderId="17" xfId="0" applyNumberFormat="1" applyFont="1" applyBorder="1" applyAlignment="1">
      <alignment horizontal="center"/>
    </xf>
    <xf numFmtId="0" fontId="21" fillId="0" borderId="30" xfId="0" applyFont="1" applyBorder="1" applyAlignment="1">
      <alignment horizontal="right"/>
    </xf>
    <xf numFmtId="0" fontId="21" fillId="0" borderId="46" xfId="0" applyFont="1" applyBorder="1" applyAlignment="1">
      <alignment horizontal="right"/>
    </xf>
    <xf numFmtId="44" fontId="21" fillId="0" borderId="46" xfId="0" applyNumberFormat="1" applyFont="1" applyBorder="1" applyAlignment="1">
      <alignment horizontal="right"/>
    </xf>
    <xf numFmtId="0" fontId="27" fillId="0" borderId="30" xfId="0" applyFont="1" applyBorder="1" applyAlignment="1">
      <alignment horizontal="right"/>
    </xf>
    <xf numFmtId="0" fontId="28" fillId="0" borderId="29" xfId="0" applyFont="1" applyBorder="1" applyAlignment="1">
      <alignment horizontal="right"/>
    </xf>
    <xf numFmtId="44" fontId="0" fillId="4" borderId="40" xfId="0" applyNumberFormat="1" applyFill="1" applyBorder="1" applyAlignment="1">
      <alignment horizontal="right"/>
    </xf>
    <xf numFmtId="44" fontId="11" fillId="3" borderId="0" xfId="0" applyNumberFormat="1" applyFont="1" applyFill="1"/>
    <xf numFmtId="0" fontId="30" fillId="0" borderId="0" xfId="0" applyFont="1" applyAlignment="1">
      <alignment vertical="top"/>
    </xf>
    <xf numFmtId="0" fontId="2" fillId="0" borderId="0" xfId="0" applyFont="1" applyAlignment="1">
      <alignment horizontal="center"/>
    </xf>
    <xf numFmtId="44" fontId="2" fillId="0" borderId="0" xfId="0" applyNumberFormat="1" applyFont="1"/>
    <xf numFmtId="9" fontId="0" fillId="0" borderId="16" xfId="0" applyNumberFormat="1" applyBorder="1"/>
    <xf numFmtId="9" fontId="0" fillId="0" borderId="21" xfId="0" applyNumberFormat="1" applyBorder="1"/>
    <xf numFmtId="9" fontId="0" fillId="0" borderId="28" xfId="0" applyNumberFormat="1" applyBorder="1"/>
    <xf numFmtId="0" fontId="2" fillId="0" borderId="41" xfId="0" applyFont="1" applyBorder="1"/>
    <xf numFmtId="9" fontId="0" fillId="0" borderId="0" xfId="0" applyNumberFormat="1"/>
    <xf numFmtId="166" fontId="0" fillId="4" borderId="21" xfId="0" applyNumberFormat="1" applyFill="1" applyBorder="1" applyAlignment="1">
      <alignment vertical="top"/>
    </xf>
    <xf numFmtId="43" fontId="0" fillId="0" borderId="20" xfId="1" applyFont="1" applyBorder="1"/>
    <xf numFmtId="43" fontId="0" fillId="0" borderId="21" xfId="1" applyFont="1" applyBorder="1"/>
    <xf numFmtId="0" fontId="0" fillId="0" borderId="16" xfId="0" applyBorder="1" applyAlignment="1">
      <alignment horizontal="left" indent="3"/>
    </xf>
    <xf numFmtId="0" fontId="0" fillId="0" borderId="18" xfId="0" applyBorder="1" applyAlignment="1">
      <alignment horizontal="left" vertical="top" indent="3"/>
    </xf>
    <xf numFmtId="0" fontId="0" fillId="0" borderId="39" xfId="0" applyBorder="1" applyAlignment="1">
      <alignment horizontal="left" indent="3"/>
    </xf>
    <xf numFmtId="0" fontId="0" fillId="0" borderId="11" xfId="0" applyBorder="1"/>
    <xf numFmtId="44" fontId="0" fillId="0" borderId="11" xfId="0" applyNumberFormat="1" applyBorder="1"/>
    <xf numFmtId="0" fontId="5" fillId="0" borderId="11" xfId="0" applyFont="1" applyBorder="1" applyAlignment="1">
      <alignment horizontal="right"/>
    </xf>
    <xf numFmtId="1" fontId="0" fillId="0" borderId="11" xfId="0" applyNumberFormat="1" applyBorder="1"/>
    <xf numFmtId="0" fontId="30" fillId="0" borderId="11" xfId="0" applyFont="1" applyBorder="1"/>
    <xf numFmtId="0" fontId="9" fillId="0" borderId="34" xfId="0" applyFont="1" applyBorder="1"/>
    <xf numFmtId="0" fontId="0" fillId="0" borderId="31" xfId="0" applyBorder="1" applyAlignment="1">
      <alignment horizontal="left" vertical="center"/>
    </xf>
    <xf numFmtId="0" fontId="0" fillId="4" borderId="22" xfId="0" applyFill="1" applyBorder="1" applyAlignment="1">
      <alignment horizontal="center"/>
    </xf>
    <xf numFmtId="166" fontId="0" fillId="4" borderId="25" xfId="0" applyNumberFormat="1" applyFill="1" applyBorder="1" applyAlignment="1">
      <alignment horizontal="center" vertical="top"/>
    </xf>
    <xf numFmtId="0" fontId="31" fillId="0" borderId="0" xfId="0" applyFont="1"/>
    <xf numFmtId="0" fontId="30" fillId="0" borderId="0" xfId="0" applyFont="1"/>
    <xf numFmtId="9" fontId="0" fillId="8" borderId="30" xfId="0" applyNumberFormat="1" applyFill="1" applyBorder="1" applyAlignment="1">
      <alignment horizontal="right"/>
    </xf>
    <xf numFmtId="44" fontId="0" fillId="8" borderId="40" xfId="0" applyNumberFormat="1" applyFill="1" applyBorder="1" applyAlignment="1">
      <alignment horizontal="right"/>
    </xf>
    <xf numFmtId="0" fontId="0" fillId="8" borderId="22" xfId="0" applyFill="1" applyBorder="1" applyAlignment="1">
      <alignment horizontal="center"/>
    </xf>
    <xf numFmtId="0" fontId="5" fillId="0" borderId="16" xfId="0" applyFont="1" applyBorder="1" applyAlignment="1">
      <alignment wrapText="1"/>
    </xf>
    <xf numFmtId="0" fontId="2" fillId="0" borderId="16" xfId="0" applyFont="1" applyBorder="1" applyAlignment="1">
      <alignment wrapText="1"/>
    </xf>
    <xf numFmtId="9" fontId="0" fillId="0" borderId="30" xfId="0" applyNumberFormat="1" applyBorder="1" applyAlignment="1">
      <alignment horizontal="right"/>
    </xf>
    <xf numFmtId="42" fontId="0" fillId="4" borderId="30" xfId="0" applyNumberFormat="1" applyFill="1" applyBorder="1" applyAlignment="1">
      <alignment horizontal="right"/>
    </xf>
    <xf numFmtId="2" fontId="0" fillId="0" borderId="21" xfId="0" applyNumberFormat="1" applyBorder="1"/>
    <xf numFmtId="0" fontId="29" fillId="6" borderId="0" xfId="0" applyFont="1" applyFill="1" applyAlignment="1">
      <alignment horizontal="center" vertical="center"/>
    </xf>
    <xf numFmtId="0" fontId="5" fillId="0" borderId="0" xfId="0" applyFont="1" applyAlignment="1">
      <alignment horizontal="left" vertical="top" wrapText="1" indent="1"/>
    </xf>
    <xf numFmtId="0" fontId="0" fillId="0" borderId="0" xfId="0" applyAlignment="1">
      <alignment horizontal="left" wrapText="1"/>
    </xf>
    <xf numFmtId="0" fontId="0" fillId="0" borderId="0" xfId="0" applyAlignment="1">
      <alignment horizontal="left" vertical="top" wrapText="1"/>
    </xf>
    <xf numFmtId="1" fontId="0" fillId="0" borderId="20" xfId="0" applyNumberFormat="1" applyBorder="1" applyAlignment="1">
      <alignment horizontal="center"/>
    </xf>
    <xf numFmtId="1" fontId="2" fillId="0" borderId="20" xfId="0" applyNumberFormat="1" applyFont="1" applyBorder="1" applyAlignment="1">
      <alignment horizontal="center"/>
    </xf>
    <xf numFmtId="1" fontId="0" fillId="0" borderId="30" xfId="0" applyNumberFormat="1" applyBorder="1" applyAlignment="1">
      <alignment horizontal="center"/>
    </xf>
    <xf numFmtId="0" fontId="2" fillId="0" borderId="35" xfId="0" applyFont="1" applyBorder="1" applyAlignment="1">
      <alignment horizontal="center" wrapText="1"/>
    </xf>
    <xf numFmtId="1" fontId="0" fillId="4" borderId="29" xfId="0" applyNumberFormat="1" applyFill="1" applyBorder="1" applyAlignment="1">
      <alignment horizontal="center"/>
    </xf>
    <xf numFmtId="1" fontId="0" fillId="4" borderId="17" xfId="0" applyNumberFormat="1" applyFill="1" applyBorder="1" applyAlignment="1">
      <alignment horizontal="center"/>
    </xf>
    <xf numFmtId="1" fontId="2" fillId="0" borderId="20" xfId="0" applyNumberFormat="1" applyFont="1" applyBorder="1" applyAlignment="1">
      <alignment horizontal="right"/>
    </xf>
    <xf numFmtId="0" fontId="0" fillId="3" borderId="44" xfId="0" applyFill="1" applyBorder="1"/>
    <xf numFmtId="1" fontId="0" fillId="3" borderId="9" xfId="0" applyNumberFormat="1" applyFill="1" applyBorder="1"/>
    <xf numFmtId="0" fontId="25" fillId="0" borderId="70" xfId="0" applyFont="1" applyBorder="1" applyAlignment="1">
      <alignment horizontal="right"/>
    </xf>
    <xf numFmtId="0" fontId="5" fillId="0" borderId="16" xfId="0" applyFont="1" applyBorder="1"/>
    <xf numFmtId="44" fontId="21" fillId="0" borderId="17" xfId="0" applyNumberFormat="1" applyFont="1" applyBorder="1" applyAlignment="1">
      <alignment horizontal="right"/>
    </xf>
    <xf numFmtId="0" fontId="5" fillId="0" borderId="18" xfId="0" applyFont="1" applyBorder="1"/>
    <xf numFmtId="2" fontId="0" fillId="3" borderId="0" xfId="0" applyNumberFormat="1" applyFill="1"/>
    <xf numFmtId="2" fontId="5" fillId="3" borderId="9" xfId="0" applyNumberFormat="1" applyFont="1" applyFill="1" applyBorder="1"/>
    <xf numFmtId="0" fontId="0" fillId="0" borderId="22" xfId="0" applyBorder="1" applyAlignment="1">
      <alignment horizontal="center"/>
    </xf>
    <xf numFmtId="0" fontId="0" fillId="3" borderId="15" xfId="0" applyFill="1" applyBorder="1"/>
    <xf numFmtId="0" fontId="36" fillId="3" borderId="8" xfId="0" applyFont="1" applyFill="1" applyBorder="1" applyAlignment="1">
      <alignment vertical="center"/>
    </xf>
    <xf numFmtId="164" fontId="0" fillId="3" borderId="9" xfId="0" applyNumberFormat="1" applyFill="1" applyBorder="1"/>
    <xf numFmtId="0" fontId="33" fillId="3" borderId="8" xfId="0" applyFont="1" applyFill="1" applyBorder="1" applyAlignment="1">
      <alignment vertical="center"/>
    </xf>
    <xf numFmtId="0" fontId="33" fillId="3" borderId="8" xfId="0" applyFont="1" applyFill="1" applyBorder="1"/>
    <xf numFmtId="1" fontId="0" fillId="4" borderId="20" xfId="0" applyNumberFormat="1" applyFill="1" applyBorder="1" applyAlignment="1">
      <alignment horizontal="center"/>
    </xf>
    <xf numFmtId="1" fontId="0" fillId="4" borderId="30" xfId="0" applyNumberFormat="1" applyFill="1" applyBorder="1" applyAlignment="1">
      <alignment horizontal="center"/>
    </xf>
    <xf numFmtId="0" fontId="2" fillId="0" borderId="36" xfId="0" applyFont="1" applyBorder="1" applyAlignment="1">
      <alignment horizontal="center" wrapText="1"/>
    </xf>
    <xf numFmtId="0" fontId="38" fillId="0" borderId="0" xfId="0" applyFont="1" applyAlignment="1">
      <alignment vertical="top"/>
    </xf>
    <xf numFmtId="44" fontId="11" fillId="0" borderId="17" xfId="0" applyNumberFormat="1" applyFont="1" applyBorder="1"/>
    <xf numFmtId="1" fontId="25" fillId="0" borderId="20" xfId="0" applyNumberFormat="1" applyFont="1" applyBorder="1" applyAlignment="1">
      <alignment horizontal="right"/>
    </xf>
    <xf numFmtId="1" fontId="25" fillId="0" borderId="21" xfId="0" applyNumberFormat="1" applyFont="1" applyBorder="1" applyAlignment="1">
      <alignment horizontal="right"/>
    </xf>
    <xf numFmtId="44" fontId="25" fillId="0" borderId="19" xfId="0" applyNumberFormat="1" applyFont="1" applyBorder="1" applyAlignment="1">
      <alignment horizontal="right"/>
    </xf>
    <xf numFmtId="44" fontId="11" fillId="0" borderId="19" xfId="0" applyNumberFormat="1" applyFont="1" applyBorder="1"/>
    <xf numFmtId="9" fontId="2" fillId="0" borderId="20" xfId="0" applyNumberFormat="1" applyFont="1" applyBorder="1"/>
    <xf numFmtId="0" fontId="0" fillId="4" borderId="22" xfId="0" applyFill="1" applyBorder="1" applyAlignment="1">
      <alignment horizontal="center" wrapText="1"/>
    </xf>
    <xf numFmtId="9" fontId="2" fillId="0" borderId="16" xfId="0" applyNumberFormat="1" applyFont="1" applyBorder="1" applyAlignment="1">
      <alignment horizontal="right" wrapText="1"/>
    </xf>
    <xf numFmtId="0" fontId="5" fillId="0" borderId="0" xfId="0" applyFont="1" applyAlignment="1">
      <alignment horizontal="left" vertical="top" wrapText="1"/>
    </xf>
    <xf numFmtId="0" fontId="2" fillId="5" borderId="15" xfId="0" applyFont="1" applyFill="1" applyBorder="1" applyAlignment="1">
      <alignment horizontal="center" vertical="top"/>
    </xf>
    <xf numFmtId="0" fontId="2" fillId="5" borderId="6" xfId="0" applyFont="1" applyFill="1" applyBorder="1" applyAlignment="1">
      <alignment horizontal="center" vertical="top"/>
    </xf>
    <xf numFmtId="0" fontId="2" fillId="5" borderId="7" xfId="0" applyFont="1" applyFill="1" applyBorder="1" applyAlignment="1">
      <alignment horizontal="center" vertical="top"/>
    </xf>
    <xf numFmtId="0" fontId="5" fillId="0" borderId="0" xfId="0" applyFont="1" applyAlignment="1">
      <alignment horizontal="left" vertical="top" wrapText="1" indent="2"/>
    </xf>
    <xf numFmtId="0" fontId="5" fillId="0" borderId="0" xfId="0" applyFont="1" applyAlignment="1">
      <alignment horizontal="left" vertical="top" wrapText="1" indent="3"/>
    </xf>
    <xf numFmtId="0" fontId="24" fillId="6" borderId="0" xfId="0" applyFont="1" applyFill="1" applyAlignment="1">
      <alignment horizontal="center" vertical="center"/>
    </xf>
    <xf numFmtId="0" fontId="5" fillId="4" borderId="6" xfId="0" applyFont="1" applyFill="1" applyBorder="1" applyAlignment="1">
      <alignment horizontal="left" vertical="top"/>
    </xf>
    <xf numFmtId="0" fontId="5" fillId="4" borderId="64" xfId="0" applyFont="1" applyFill="1" applyBorder="1" applyAlignment="1">
      <alignment horizontal="left" vertical="top"/>
    </xf>
    <xf numFmtId="0" fontId="5" fillId="0" borderId="6" xfId="0" applyFont="1" applyBorder="1" applyAlignment="1">
      <alignment horizontal="left" vertical="top" wrapText="1"/>
    </xf>
    <xf numFmtId="0" fontId="5" fillId="0" borderId="14" xfId="0" applyFont="1" applyBorder="1" applyAlignment="1">
      <alignment horizontal="left" vertical="top" wrapText="1"/>
    </xf>
    <xf numFmtId="0" fontId="5" fillId="0" borderId="0" xfId="0" applyFont="1" applyAlignment="1">
      <alignment horizontal="left" vertical="top" wrapText="1" indent="1"/>
    </xf>
    <xf numFmtId="0" fontId="5" fillId="0" borderId="0" xfId="0" applyFont="1" applyAlignment="1">
      <alignment horizontal="left" vertical="top" indent="1"/>
    </xf>
    <xf numFmtId="0" fontId="5" fillId="0" borderId="0" xfId="0" applyFont="1" applyAlignment="1">
      <alignment vertical="top" wrapText="1"/>
    </xf>
    <xf numFmtId="0" fontId="38" fillId="0" borderId="0" xfId="0" applyFont="1" applyAlignment="1">
      <alignment horizontal="left" vertical="top" wrapText="1"/>
    </xf>
    <xf numFmtId="0" fontId="38" fillId="0" borderId="63" xfId="0" applyFont="1" applyBorder="1" applyAlignment="1">
      <alignment horizontal="left" vertical="top" wrapText="1"/>
    </xf>
    <xf numFmtId="0" fontId="40" fillId="3" borderId="15" xfId="0" applyFont="1" applyFill="1" applyBorder="1" applyAlignment="1">
      <alignment horizontal="center"/>
    </xf>
    <xf numFmtId="0" fontId="40" fillId="3" borderId="6" xfId="0" applyFont="1" applyFill="1" applyBorder="1" applyAlignment="1">
      <alignment horizontal="center"/>
    </xf>
    <xf numFmtId="0" fontId="29" fillId="6" borderId="0" xfId="0" applyFont="1" applyFill="1" applyAlignment="1">
      <alignment horizontal="center" vertical="center"/>
    </xf>
    <xf numFmtId="0" fontId="0" fillId="0" borderId="25" xfId="0" applyBorder="1" applyAlignment="1">
      <alignment horizontal="left" wrapText="1"/>
    </xf>
    <xf numFmtId="0" fontId="0" fillId="0" borderId="26" xfId="0" applyBorder="1" applyAlignment="1">
      <alignment horizontal="left" wrapText="1"/>
    </xf>
    <xf numFmtId="0" fontId="0" fillId="0" borderId="27" xfId="0" applyBorder="1" applyAlignment="1">
      <alignment horizontal="left" wrapText="1"/>
    </xf>
    <xf numFmtId="0" fontId="2" fillId="0" borderId="34" xfId="0" applyFont="1" applyBorder="1" applyAlignment="1">
      <alignment horizontal="left"/>
    </xf>
    <xf numFmtId="0" fontId="2" fillId="0" borderId="36" xfId="0" applyFont="1" applyBorder="1" applyAlignment="1">
      <alignment horizontal="left"/>
    </xf>
    <xf numFmtId="0" fontId="2" fillId="0" borderId="35" xfId="0" applyFont="1" applyBorder="1" applyAlignment="1">
      <alignment horizontal="left"/>
    </xf>
    <xf numFmtId="0" fontId="0" fillId="0" borderId="25" xfId="0" applyBorder="1" applyAlignment="1">
      <alignment horizontal="left" vertical="top" wrapText="1"/>
    </xf>
    <xf numFmtId="0" fontId="0" fillId="0" borderId="26" xfId="0" applyBorder="1" applyAlignment="1">
      <alignment horizontal="left" vertical="top" wrapText="1"/>
    </xf>
    <xf numFmtId="0" fontId="0" fillId="0" borderId="27" xfId="0" applyBorder="1" applyAlignment="1">
      <alignment horizontal="left" vertical="top" wrapText="1"/>
    </xf>
    <xf numFmtId="0" fontId="5" fillId="0" borderId="22" xfId="0" applyFont="1" applyBorder="1" applyAlignment="1">
      <alignment horizontal="left" wrapText="1"/>
    </xf>
    <xf numFmtId="0" fontId="5" fillId="0" borderId="23" xfId="0" applyFont="1" applyBorder="1" applyAlignment="1">
      <alignment horizontal="left" wrapText="1"/>
    </xf>
    <xf numFmtId="0" fontId="5" fillId="0" borderId="24" xfId="0" applyFont="1" applyBorder="1" applyAlignment="1">
      <alignment horizontal="left"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04AD3-5D0B-B240-86C9-1EFAC3CF0CB0}">
  <sheetPr>
    <pageSetUpPr fitToPage="1"/>
  </sheetPr>
  <dimension ref="A1:K128"/>
  <sheetViews>
    <sheetView showGridLines="0" tabSelected="1" topLeftCell="A75" zoomScaleNormal="100" zoomScaleSheetLayoutView="110" workbookViewId="0">
      <selection activeCell="F96" sqref="F96"/>
    </sheetView>
  </sheetViews>
  <sheetFormatPr defaultColWidth="10.85546875" defaultRowHeight="15.9"/>
  <cols>
    <col min="1" max="1" width="4.640625" style="113" customWidth="1"/>
    <col min="2" max="2" width="12.640625" style="113" customWidth="1"/>
    <col min="3" max="3" width="18.140625" style="113" customWidth="1"/>
    <col min="4" max="4" width="83.85546875" style="113" customWidth="1"/>
    <col min="5" max="5" width="17.35546875" style="113" customWidth="1"/>
    <col min="6" max="6" width="21.5" style="113" customWidth="1"/>
    <col min="7" max="7" width="21.35546875" style="113" customWidth="1"/>
    <col min="8" max="9" width="11.140625" style="113" customWidth="1"/>
    <col min="10" max="10" width="12.35546875" style="113" customWidth="1"/>
    <col min="11" max="11" width="11.140625" style="113" customWidth="1"/>
    <col min="12" max="16384" width="10.85546875" style="113"/>
  </cols>
  <sheetData>
    <row r="1" spans="1:7" ht="37" customHeight="1">
      <c r="B1" s="300" t="s">
        <v>288</v>
      </c>
      <c r="C1" s="300"/>
      <c r="D1" s="300"/>
      <c r="E1" s="300"/>
      <c r="F1" s="300"/>
    </row>
    <row r="2" spans="1:7" ht="16.3" thickBot="1"/>
    <row r="3" spans="1:7">
      <c r="B3" s="115" t="s">
        <v>107</v>
      </c>
      <c r="C3" s="301" t="s">
        <v>130</v>
      </c>
      <c r="D3" s="302"/>
      <c r="E3" s="116" t="s">
        <v>156</v>
      </c>
      <c r="F3" s="117" t="s">
        <v>131</v>
      </c>
    </row>
    <row r="4" spans="1:7">
      <c r="B4" s="118" t="str">
        <f>B10</f>
        <v>Affordability (Maximum 45 Points)</v>
      </c>
      <c r="C4" s="119"/>
      <c r="D4" s="120"/>
      <c r="E4" s="121">
        <v>45</v>
      </c>
      <c r="F4" s="122">
        <f>F10</f>
        <v>0</v>
      </c>
    </row>
    <row r="5" spans="1:7">
      <c r="B5" s="118" t="str">
        <f>B20</f>
        <v>Housing Type (Maximum 35 points)</v>
      </c>
      <c r="C5" s="119"/>
      <c r="D5" s="120"/>
      <c r="E5" s="123">
        <v>35</v>
      </c>
      <c r="F5" s="124">
        <f>F20</f>
        <v>0</v>
      </c>
    </row>
    <row r="6" spans="1:7">
      <c r="B6" s="118" t="str">
        <f>B82</f>
        <v>Climate and Location Priorities (Maximum 20 Points)</v>
      </c>
      <c r="C6" s="119"/>
      <c r="D6" s="120"/>
      <c r="E6" s="123">
        <v>20</v>
      </c>
      <c r="F6" s="124">
        <f>F82</f>
        <v>10</v>
      </c>
    </row>
    <row r="7" spans="1:7">
      <c r="B7" s="125" t="s">
        <v>132</v>
      </c>
      <c r="C7" s="126"/>
      <c r="D7" s="127"/>
      <c r="E7" s="128"/>
      <c r="F7" s="129"/>
      <c r="G7" s="130"/>
    </row>
    <row r="8" spans="1:7" ht="16.3" thickBot="1">
      <c r="B8" s="131"/>
      <c r="C8" s="132"/>
      <c r="D8" s="133" t="s">
        <v>133</v>
      </c>
      <c r="E8" s="134">
        <f>SUM(E4:E6)</f>
        <v>100</v>
      </c>
      <c r="F8" s="135">
        <f>SUM(F4:F7)</f>
        <v>10</v>
      </c>
    </row>
    <row r="9" spans="1:7" ht="16.3" thickBot="1"/>
    <row r="10" spans="1:7" ht="16.3" thickBot="1">
      <c r="B10" s="136" t="s">
        <v>182</v>
      </c>
      <c r="C10" s="137"/>
      <c r="D10" s="138"/>
      <c r="E10" s="138" t="s">
        <v>158</v>
      </c>
      <c r="F10" s="139">
        <f>MAX(0,IF(F12="(1)",45,IF(F12="(2)",45,IF(F12="(3)",45,0))))</f>
        <v>0</v>
      </c>
    </row>
    <row r="11" spans="1:7" ht="16.3" thickTop="1">
      <c r="B11" s="118"/>
      <c r="C11" s="119"/>
      <c r="D11" s="140"/>
      <c r="E11" s="140"/>
      <c r="F11" s="141"/>
      <c r="G11" s="142"/>
    </row>
    <row r="12" spans="1:7">
      <c r="B12" s="118" t="s">
        <v>157</v>
      </c>
      <c r="C12" s="114"/>
      <c r="E12" s="111"/>
      <c r="F12" s="143"/>
    </row>
    <row r="13" spans="1:7" ht="36" customHeight="1">
      <c r="A13" s="144"/>
      <c r="B13" s="185" t="s">
        <v>148</v>
      </c>
      <c r="C13" s="294" t="s">
        <v>233</v>
      </c>
      <c r="D13" s="294"/>
      <c r="E13" s="112"/>
      <c r="F13" s="144"/>
    </row>
    <row r="14" spans="1:7">
      <c r="A14" s="144"/>
      <c r="B14" s="185"/>
      <c r="F14" s="144"/>
    </row>
    <row r="15" spans="1:7" ht="67" customHeight="1">
      <c r="A15" s="144"/>
      <c r="B15" s="185" t="s">
        <v>149</v>
      </c>
      <c r="C15" s="294" t="s">
        <v>300</v>
      </c>
      <c r="D15" s="294"/>
      <c r="E15" s="112"/>
      <c r="F15" s="144"/>
    </row>
    <row r="16" spans="1:7">
      <c r="A16" s="144"/>
      <c r="B16" s="185"/>
      <c r="F16" s="144"/>
    </row>
    <row r="17" spans="1:6" ht="37" customHeight="1">
      <c r="A17" s="144"/>
      <c r="B17" s="185" t="s">
        <v>150</v>
      </c>
      <c r="C17" s="294" t="s">
        <v>234</v>
      </c>
      <c r="D17" s="294"/>
      <c r="E17" s="112"/>
      <c r="F17" s="144"/>
    </row>
    <row r="18" spans="1:6" ht="16.3" thickBot="1">
      <c r="B18" s="145"/>
      <c r="C18" s="146"/>
      <c r="D18" s="146"/>
      <c r="E18" s="146"/>
      <c r="F18" s="147"/>
    </row>
    <row r="19" spans="1:6" ht="16.3" thickBot="1"/>
    <row r="20" spans="1:6" ht="16.3" thickBot="1">
      <c r="B20" s="136" t="s">
        <v>183</v>
      </c>
      <c r="C20" s="137"/>
      <c r="D20" s="138"/>
      <c r="E20" s="138" t="s">
        <v>158</v>
      </c>
      <c r="F20" s="139">
        <f>IFERROR(VLOOKUP(F23,Scoring!J98:K118,2,FALSE),0)</f>
        <v>0</v>
      </c>
    </row>
    <row r="21" spans="1:6" ht="16.3" thickTop="1">
      <c r="B21" s="118"/>
      <c r="C21" s="119"/>
      <c r="D21" s="140"/>
      <c r="E21" s="140"/>
      <c r="F21" s="141"/>
    </row>
    <row r="22" spans="1:6">
      <c r="A22" s="144"/>
      <c r="B22" s="111" t="s">
        <v>181</v>
      </c>
      <c r="C22" s="119"/>
      <c r="D22" s="140"/>
      <c r="E22" s="140"/>
      <c r="F22" s="141"/>
    </row>
    <row r="23" spans="1:6">
      <c r="B23" s="142"/>
      <c r="E23" s="111"/>
      <c r="F23" s="143"/>
    </row>
    <row r="24" spans="1:6">
      <c r="B24" s="148" t="s">
        <v>190</v>
      </c>
      <c r="C24" s="126"/>
      <c r="D24" s="149"/>
      <c r="E24" s="150"/>
      <c r="F24" s="151"/>
    </row>
    <row r="25" spans="1:6">
      <c r="B25" s="142"/>
      <c r="F25" s="144"/>
    </row>
    <row r="26" spans="1:6">
      <c r="B26" s="184" t="s">
        <v>148</v>
      </c>
      <c r="C26" s="119" t="s">
        <v>159</v>
      </c>
      <c r="D26" s="112"/>
      <c r="E26" s="112"/>
      <c r="F26" s="144"/>
    </row>
    <row r="27" spans="1:6" s="112" customFormat="1" ht="70" customHeight="1">
      <c r="B27" s="186"/>
      <c r="C27" s="294" t="s">
        <v>260</v>
      </c>
      <c r="D27" s="294"/>
      <c r="F27" s="152"/>
    </row>
    <row r="28" spans="1:6">
      <c r="B28" s="118"/>
      <c r="D28" s="112"/>
      <c r="E28" s="112"/>
      <c r="F28" s="144"/>
    </row>
    <row r="29" spans="1:6">
      <c r="A29" s="144"/>
      <c r="B29" s="185" t="s">
        <v>149</v>
      </c>
      <c r="C29" s="119" t="s">
        <v>160</v>
      </c>
      <c r="F29" s="144"/>
    </row>
    <row r="30" spans="1:6" ht="112" customHeight="1">
      <c r="B30" s="118"/>
      <c r="C30" s="294" t="s">
        <v>301</v>
      </c>
      <c r="D30" s="294"/>
      <c r="E30" s="112"/>
      <c r="F30" s="144"/>
    </row>
    <row r="31" spans="1:6" ht="64" customHeight="1">
      <c r="B31" s="118"/>
      <c r="C31" s="294" t="s">
        <v>302</v>
      </c>
      <c r="D31" s="294"/>
      <c r="E31" s="112"/>
      <c r="F31" s="144"/>
    </row>
    <row r="32" spans="1:6">
      <c r="B32" s="118"/>
      <c r="F32" s="144"/>
    </row>
    <row r="33" spans="2:6">
      <c r="B33" s="184" t="s">
        <v>150</v>
      </c>
      <c r="C33" s="119" t="s">
        <v>161</v>
      </c>
      <c r="F33" s="144"/>
    </row>
    <row r="34" spans="2:6" ht="20.05" customHeight="1">
      <c r="B34" s="118"/>
      <c r="C34" s="113" t="s">
        <v>166</v>
      </c>
      <c r="F34" s="144"/>
    </row>
    <row r="35" spans="2:6" ht="21" customHeight="1">
      <c r="B35" s="142"/>
      <c r="C35" s="298" t="s">
        <v>235</v>
      </c>
      <c r="D35" s="298"/>
      <c r="E35" s="112"/>
      <c r="F35" s="144"/>
    </row>
    <row r="36" spans="2:6">
      <c r="B36" s="142"/>
      <c r="F36" s="144"/>
    </row>
    <row r="37" spans="2:6">
      <c r="B37" s="184" t="s">
        <v>151</v>
      </c>
      <c r="C37" s="119" t="s">
        <v>162</v>
      </c>
      <c r="F37" s="144"/>
    </row>
    <row r="38" spans="2:6" ht="97" customHeight="1">
      <c r="B38" s="183"/>
      <c r="C38" s="294" t="s">
        <v>303</v>
      </c>
      <c r="D38" s="294"/>
      <c r="E38" s="112"/>
      <c r="F38" s="144"/>
    </row>
    <row r="39" spans="2:6" ht="53.05" customHeight="1">
      <c r="B39" s="183"/>
      <c r="C39" s="298" t="s">
        <v>304</v>
      </c>
      <c r="D39" s="298"/>
      <c r="E39" s="112"/>
      <c r="F39" s="144"/>
    </row>
    <row r="40" spans="2:6" ht="21" customHeight="1">
      <c r="B40" s="183"/>
      <c r="C40" s="298" t="s">
        <v>305</v>
      </c>
      <c r="D40" s="298"/>
      <c r="E40" s="112"/>
      <c r="F40" s="144"/>
    </row>
    <row r="41" spans="2:6">
      <c r="B41" s="183"/>
      <c r="C41" s="298"/>
      <c r="D41" s="298"/>
      <c r="F41" s="144"/>
    </row>
    <row r="42" spans="2:6">
      <c r="B42" s="184" t="s">
        <v>152</v>
      </c>
      <c r="C42" s="119" t="s">
        <v>163</v>
      </c>
      <c r="F42" s="144"/>
    </row>
    <row r="43" spans="2:6" ht="36" customHeight="1">
      <c r="B43" s="184"/>
      <c r="C43" s="294" t="s">
        <v>236</v>
      </c>
      <c r="D43" s="294"/>
      <c r="E43" s="112"/>
      <c r="F43" s="144"/>
    </row>
    <row r="44" spans="2:6" ht="34" customHeight="1">
      <c r="B44" s="184"/>
      <c r="C44" s="298" t="s">
        <v>306</v>
      </c>
      <c r="D44" s="298"/>
      <c r="E44" s="112"/>
      <c r="F44" s="144"/>
    </row>
    <row r="45" spans="2:6">
      <c r="B45" s="184"/>
      <c r="C45" s="298" t="s">
        <v>237</v>
      </c>
      <c r="D45" s="298"/>
      <c r="E45" s="112"/>
      <c r="F45" s="144"/>
    </row>
    <row r="46" spans="2:6">
      <c r="B46" s="184"/>
      <c r="F46" s="144"/>
    </row>
    <row r="47" spans="2:6">
      <c r="B47" s="184" t="s">
        <v>153</v>
      </c>
      <c r="C47" s="119" t="s">
        <v>164</v>
      </c>
      <c r="F47" s="144"/>
    </row>
    <row r="48" spans="2:6" ht="37" customHeight="1">
      <c r="B48" s="184"/>
      <c r="C48" s="294" t="s">
        <v>265</v>
      </c>
      <c r="D48" s="294"/>
      <c r="E48" s="112"/>
      <c r="F48" s="144"/>
    </row>
    <row r="49" spans="2:6">
      <c r="B49" s="184"/>
      <c r="F49" s="144"/>
    </row>
    <row r="50" spans="2:6">
      <c r="B50" s="184" t="s">
        <v>170</v>
      </c>
      <c r="C50" s="119" t="s">
        <v>165</v>
      </c>
      <c r="F50" s="144"/>
    </row>
    <row r="51" spans="2:6" ht="57" customHeight="1" thickBot="1">
      <c r="B51" s="183"/>
      <c r="C51" s="294" t="s">
        <v>307</v>
      </c>
      <c r="D51" s="294"/>
      <c r="E51" s="112"/>
      <c r="F51" s="144"/>
    </row>
    <row r="52" spans="2:6" ht="16.3" thickBot="1">
      <c r="B52" s="142"/>
      <c r="C52" s="153" t="s">
        <v>134</v>
      </c>
      <c r="D52" s="154" t="s">
        <v>135</v>
      </c>
      <c r="E52" s="112"/>
      <c r="F52" s="144"/>
    </row>
    <row r="53" spans="2:6" ht="16.3" thickTop="1">
      <c r="B53" s="142"/>
      <c r="C53" s="155" t="s">
        <v>136</v>
      </c>
      <c r="D53" s="156" t="s">
        <v>137</v>
      </c>
      <c r="E53" s="112"/>
      <c r="F53" s="144"/>
    </row>
    <row r="54" spans="2:6">
      <c r="B54" s="142"/>
      <c r="C54" s="157" t="s">
        <v>138</v>
      </c>
      <c r="D54" s="158" t="s">
        <v>139</v>
      </c>
      <c r="E54" s="112"/>
      <c r="F54" s="144"/>
    </row>
    <row r="55" spans="2:6">
      <c r="B55" s="142"/>
      <c r="C55" s="157" t="s">
        <v>140</v>
      </c>
      <c r="D55" s="158" t="s">
        <v>141</v>
      </c>
      <c r="E55" s="112"/>
      <c r="F55" s="144"/>
    </row>
    <row r="56" spans="2:6" ht="16.3" thickBot="1">
      <c r="B56" s="142"/>
      <c r="C56" s="187" t="s">
        <v>142</v>
      </c>
      <c r="D56" s="188" t="s">
        <v>143</v>
      </c>
      <c r="E56" s="112"/>
      <c r="F56" s="144"/>
    </row>
    <row r="57" spans="2:6" ht="32.049999999999997" customHeight="1">
      <c r="B57" s="142"/>
      <c r="C57" s="303" t="s">
        <v>308</v>
      </c>
      <c r="D57" s="303"/>
      <c r="E57" s="112"/>
      <c r="F57" s="144"/>
    </row>
    <row r="58" spans="2:6">
      <c r="B58" s="142"/>
      <c r="F58" s="144"/>
    </row>
    <row r="59" spans="2:6">
      <c r="B59" s="148" t="s">
        <v>191</v>
      </c>
      <c r="C59" s="159"/>
      <c r="D59" s="160"/>
      <c r="F59" s="144"/>
    </row>
    <row r="60" spans="2:6" ht="33" customHeight="1">
      <c r="B60" s="142"/>
      <c r="C60" s="304" t="s">
        <v>238</v>
      </c>
      <c r="D60" s="304"/>
      <c r="F60" s="144"/>
    </row>
    <row r="61" spans="2:6">
      <c r="B61" s="142"/>
      <c r="F61" s="144"/>
    </row>
    <row r="62" spans="2:6">
      <c r="B62" s="184" t="s">
        <v>148</v>
      </c>
      <c r="C62" s="119" t="s">
        <v>167</v>
      </c>
      <c r="F62" s="144"/>
    </row>
    <row r="63" spans="2:6">
      <c r="B63" s="184"/>
      <c r="C63" s="113" t="s">
        <v>223</v>
      </c>
      <c r="E63" s="112"/>
      <c r="F63" s="144"/>
    </row>
    <row r="64" spans="2:6">
      <c r="B64" s="184"/>
      <c r="C64" s="182" t="s">
        <v>171</v>
      </c>
      <c r="F64" s="144"/>
    </row>
    <row r="65" spans="2:8" ht="33" customHeight="1">
      <c r="B65" s="184"/>
      <c r="C65" s="298" t="s">
        <v>172</v>
      </c>
      <c r="D65" s="298"/>
      <c r="E65" s="112"/>
      <c r="F65" s="144"/>
    </row>
    <row r="66" spans="2:8" ht="33" customHeight="1">
      <c r="B66" s="184"/>
      <c r="C66" s="298" t="s">
        <v>173</v>
      </c>
      <c r="D66" s="298"/>
      <c r="E66" s="112"/>
      <c r="F66" s="144"/>
    </row>
    <row r="67" spans="2:8" ht="21" customHeight="1">
      <c r="B67" s="184"/>
      <c r="C67" s="182" t="s">
        <v>174</v>
      </c>
      <c r="E67" s="112"/>
      <c r="F67" s="144"/>
    </row>
    <row r="68" spans="2:8">
      <c r="B68" s="184"/>
      <c r="C68" s="182" t="s">
        <v>175</v>
      </c>
      <c r="E68" s="112"/>
      <c r="F68" s="144"/>
    </row>
    <row r="69" spans="2:8">
      <c r="B69" s="184"/>
      <c r="C69" s="161"/>
      <c r="D69" s="112"/>
      <c r="E69" s="112"/>
      <c r="F69" s="144"/>
    </row>
    <row r="70" spans="2:8">
      <c r="B70" s="184" t="s">
        <v>149</v>
      </c>
      <c r="C70" s="181" t="s">
        <v>168</v>
      </c>
      <c r="D70" s="112"/>
      <c r="E70" s="112"/>
      <c r="F70" s="144"/>
    </row>
    <row r="71" spans="2:8" ht="32.049999999999997" customHeight="1">
      <c r="B71" s="184"/>
      <c r="C71" s="294" t="s">
        <v>224</v>
      </c>
      <c r="D71" s="294"/>
      <c r="E71" s="112"/>
      <c r="F71" s="144"/>
    </row>
    <row r="72" spans="2:8" ht="35.049999999999997" customHeight="1">
      <c r="B72" s="184"/>
      <c r="C72" s="298" t="s">
        <v>309</v>
      </c>
      <c r="D72" s="298"/>
      <c r="E72" s="112"/>
      <c r="F72" s="144"/>
    </row>
    <row r="73" spans="2:8" ht="34" customHeight="1">
      <c r="B73" s="184"/>
      <c r="C73" s="298" t="s">
        <v>176</v>
      </c>
      <c r="D73" s="298"/>
      <c r="E73" s="112"/>
      <c r="F73" s="144"/>
    </row>
    <row r="74" spans="2:8">
      <c r="B74" s="184"/>
      <c r="C74" s="161"/>
      <c r="D74" s="112"/>
      <c r="E74" s="112"/>
      <c r="F74" s="144"/>
    </row>
    <row r="75" spans="2:8">
      <c r="B75" s="184" t="s">
        <v>150</v>
      </c>
      <c r="C75" s="181" t="s">
        <v>169</v>
      </c>
      <c r="D75" s="112"/>
      <c r="E75" s="112"/>
      <c r="F75" s="144"/>
    </row>
    <row r="76" spans="2:8">
      <c r="B76" s="183"/>
      <c r="C76" s="113" t="s">
        <v>225</v>
      </c>
      <c r="E76" s="112"/>
      <c r="F76" s="144"/>
    </row>
    <row r="77" spans="2:8" ht="53.05" customHeight="1">
      <c r="B77" s="183"/>
      <c r="C77" s="298" t="s">
        <v>310</v>
      </c>
      <c r="D77" s="298"/>
      <c r="E77" s="112"/>
      <c r="F77" s="144"/>
    </row>
    <row r="78" spans="2:8" ht="53.05" customHeight="1">
      <c r="B78" s="142"/>
      <c r="C78" s="298" t="s">
        <v>311</v>
      </c>
      <c r="D78" s="298"/>
      <c r="E78" s="112"/>
      <c r="F78" s="144"/>
    </row>
    <row r="79" spans="2:8" ht="36" customHeight="1">
      <c r="B79" s="142"/>
      <c r="C79" s="298" t="s">
        <v>177</v>
      </c>
      <c r="D79" s="298"/>
      <c r="E79" s="112"/>
      <c r="F79" s="144"/>
      <c r="H79" s="113">
        <f>20000000/250</f>
        <v>80000</v>
      </c>
    </row>
    <row r="80" spans="2:8" ht="16.3" thickBot="1">
      <c r="B80" s="145"/>
      <c r="C80" s="146"/>
      <c r="D80" s="146"/>
      <c r="E80" s="146"/>
      <c r="F80" s="147"/>
    </row>
    <row r="81" spans="2:11" ht="16.3" thickBot="1">
      <c r="B81" s="162"/>
      <c r="C81" s="162"/>
      <c r="D81" s="162"/>
      <c r="E81" s="162"/>
      <c r="F81" s="162"/>
    </row>
    <row r="82" spans="2:11" ht="16.3" thickBot="1">
      <c r="B82" s="136" t="s">
        <v>226</v>
      </c>
      <c r="C82" s="137"/>
      <c r="D82" s="138"/>
      <c r="E82" s="138" t="s">
        <v>158</v>
      </c>
      <c r="F82" s="163">
        <f>MIN(20,MAX(0,MIN(E88,15)+_xlfn.MAXIFS(E85:E87,F85:F87,TRUE))+F95)</f>
        <v>10</v>
      </c>
    </row>
    <row r="83" spans="2:11" ht="16.3" thickTop="1">
      <c r="B83" s="118"/>
      <c r="C83" s="119"/>
      <c r="D83" s="140"/>
      <c r="E83" s="140"/>
      <c r="F83" s="141"/>
    </row>
    <row r="84" spans="2:11">
      <c r="B84" s="184"/>
      <c r="C84" s="113" t="s">
        <v>227</v>
      </c>
      <c r="E84" s="164"/>
      <c r="F84" s="143" t="b">
        <v>0</v>
      </c>
    </row>
    <row r="85" spans="2:11">
      <c r="B85" s="184" t="s">
        <v>148</v>
      </c>
      <c r="C85" s="113" t="s">
        <v>313</v>
      </c>
      <c r="D85" s="112"/>
      <c r="E85" s="165">
        <f>IF(F84,15,20)</f>
        <v>20</v>
      </c>
      <c r="F85" s="143"/>
      <c r="H85" s="170" t="b">
        <f>IF(F85,IF(F86,TRUE,FALSE),FALSE)</f>
        <v>0</v>
      </c>
      <c r="I85" s="171"/>
      <c r="J85" s="171"/>
      <c r="K85" s="172"/>
    </row>
    <row r="86" spans="2:11">
      <c r="B86" s="184" t="s">
        <v>149</v>
      </c>
      <c r="C86" s="113" t="s">
        <v>312</v>
      </c>
      <c r="E86" s="165">
        <v>20</v>
      </c>
      <c r="F86" s="143"/>
    </row>
    <row r="87" spans="2:11" ht="55" customHeight="1">
      <c r="B87" s="184" t="s">
        <v>150</v>
      </c>
      <c r="C87" s="294" t="s">
        <v>314</v>
      </c>
      <c r="D87" s="294"/>
      <c r="E87" s="165">
        <f>IF(AND(F85=FALSE,F86=FALSE,F87),5,0)</f>
        <v>5</v>
      </c>
      <c r="F87" s="143"/>
    </row>
    <row r="88" spans="2:11">
      <c r="B88" s="184" t="s">
        <v>151</v>
      </c>
      <c r="C88" s="113" t="s">
        <v>228</v>
      </c>
      <c r="D88" s="112"/>
      <c r="E88" s="165">
        <f>IF(F88&gt;0,MIN(15,F88),0)</f>
        <v>10</v>
      </c>
      <c r="F88" s="143">
        <v>10</v>
      </c>
      <c r="G88" s="130"/>
    </row>
    <row r="89" spans="2:11" ht="32.049999999999997" customHeight="1">
      <c r="B89" s="142"/>
      <c r="C89" s="299" t="s">
        <v>261</v>
      </c>
      <c r="D89" s="299"/>
      <c r="E89" s="166"/>
      <c r="F89" s="189" t="s">
        <v>144</v>
      </c>
      <c r="G89" s="130"/>
    </row>
    <row r="90" spans="2:11" ht="36" customHeight="1">
      <c r="B90" s="142"/>
      <c r="C90" s="299" t="s">
        <v>263</v>
      </c>
      <c r="D90" s="299"/>
      <c r="E90" s="166"/>
      <c r="F90" s="141"/>
      <c r="G90" s="130"/>
    </row>
    <row r="91" spans="2:11" ht="48" customHeight="1">
      <c r="B91" s="142"/>
      <c r="C91" s="299" t="s">
        <v>262</v>
      </c>
      <c r="D91" s="299"/>
      <c r="E91" s="166"/>
      <c r="F91" s="141"/>
      <c r="G91" s="130"/>
    </row>
    <row r="92" spans="2:11">
      <c r="B92" s="142"/>
      <c r="D92" s="112"/>
      <c r="E92" s="167"/>
      <c r="F92" s="144"/>
    </row>
    <row r="93" spans="2:11">
      <c r="B93" s="184" t="s">
        <v>152</v>
      </c>
      <c r="C93" s="285" t="s">
        <v>286</v>
      </c>
      <c r="E93" s="168"/>
      <c r="F93" s="141"/>
    </row>
    <row r="94" spans="2:11" ht="16.3" thickBot="1">
      <c r="B94" s="184"/>
      <c r="C94" s="285" t="s">
        <v>284</v>
      </c>
      <c r="E94" s="168"/>
      <c r="F94" s="141"/>
    </row>
    <row r="95" spans="2:11">
      <c r="B95" s="142"/>
      <c r="C95" s="285"/>
      <c r="D95" s="102"/>
      <c r="E95" s="103"/>
      <c r="F95" s="104">
        <f>IFERROR(IF(OR(F96:F98,F100:F102),IF(F84,MAX(0,E120+SUMIF((E117,E118,E119,E124,E125),TRUE,(F117,F118,F119,F124,F125))),IF(F99,10,5)),0),IF(F99,10,IF(F107&gt;0,F107,0)))</f>
        <v>0</v>
      </c>
      <c r="G95" s="113">
        <f>IFERROR(IF(OR(F96:F98,F100:F102),IF(F99,10,5),0),IF(F107&gt;0,F107,0))</f>
        <v>0</v>
      </c>
      <c r="H95" s="295" t="s">
        <v>145</v>
      </c>
      <c r="I95" s="296"/>
      <c r="J95" s="296"/>
      <c r="K95" s="297"/>
    </row>
    <row r="96" spans="2:11" ht="83.05" customHeight="1">
      <c r="B96" s="142"/>
      <c r="C96" s="294" t="s">
        <v>270</v>
      </c>
      <c r="D96" s="294"/>
      <c r="E96" s="165">
        <v>5</v>
      </c>
      <c r="F96" s="169"/>
      <c r="H96" s="170"/>
      <c r="I96" s="171"/>
      <c r="J96" s="171"/>
      <c r="K96" s="172"/>
    </row>
    <row r="97" spans="2:11" ht="68.05" customHeight="1">
      <c r="B97" s="142"/>
      <c r="C97" s="294" t="s">
        <v>271</v>
      </c>
      <c r="D97" s="294"/>
      <c r="E97" s="165">
        <v>5</v>
      </c>
      <c r="F97" s="143"/>
      <c r="H97" s="170"/>
      <c r="I97" s="171"/>
      <c r="J97" s="173" t="s">
        <v>146</v>
      </c>
      <c r="K97" s="174" t="s">
        <v>147</v>
      </c>
    </row>
    <row r="98" spans="2:11" ht="72" customHeight="1">
      <c r="B98" s="142"/>
      <c r="C98" s="294" t="s">
        <v>272</v>
      </c>
      <c r="D98" s="294"/>
      <c r="E98" s="165">
        <v>5</v>
      </c>
      <c r="F98" s="143"/>
      <c r="H98" s="170" t="b">
        <v>1</v>
      </c>
      <c r="I98" s="175" t="s">
        <v>148</v>
      </c>
      <c r="J98" s="171" t="s">
        <v>159</v>
      </c>
      <c r="K98" s="172">
        <v>35</v>
      </c>
    </row>
    <row r="99" spans="2:11" ht="51" customHeight="1">
      <c r="B99" s="142"/>
      <c r="C99" s="294" t="s">
        <v>273</v>
      </c>
      <c r="D99" s="294"/>
      <c r="E99" s="165">
        <v>10</v>
      </c>
      <c r="F99" s="143"/>
      <c r="H99" s="170" t="b">
        <v>0</v>
      </c>
      <c r="I99" s="175" t="s">
        <v>149</v>
      </c>
      <c r="J99" s="171" t="s">
        <v>160</v>
      </c>
      <c r="K99" s="172">
        <v>35</v>
      </c>
    </row>
    <row r="100" spans="2:11">
      <c r="B100" s="142"/>
      <c r="C100" s="294" t="s">
        <v>268</v>
      </c>
      <c r="D100" s="294"/>
      <c r="E100" s="165">
        <v>5</v>
      </c>
      <c r="F100" s="143"/>
      <c r="H100" s="170"/>
      <c r="I100" s="175"/>
      <c r="J100" s="171" t="s">
        <v>161</v>
      </c>
      <c r="K100" s="172"/>
    </row>
    <row r="101" spans="2:11">
      <c r="B101" s="142"/>
      <c r="C101" s="294" t="s">
        <v>269</v>
      </c>
      <c r="D101" s="294"/>
      <c r="E101" s="165">
        <v>5</v>
      </c>
      <c r="F101" s="143"/>
      <c r="H101" s="170"/>
      <c r="I101" s="175"/>
      <c r="J101" s="171" t="s">
        <v>162</v>
      </c>
      <c r="K101" s="172"/>
    </row>
    <row r="102" spans="2:11" ht="32.049999999999997" customHeight="1">
      <c r="B102" s="142"/>
      <c r="C102" s="294" t="s">
        <v>274</v>
      </c>
      <c r="D102" s="294"/>
      <c r="E102" s="165">
        <v>5</v>
      </c>
      <c r="F102" s="143"/>
      <c r="H102" s="170"/>
      <c r="I102" s="175" t="s">
        <v>150</v>
      </c>
      <c r="J102" s="171" t="s">
        <v>164</v>
      </c>
      <c r="K102" s="172">
        <v>35</v>
      </c>
    </row>
    <row r="103" spans="2:11">
      <c r="B103" s="142"/>
      <c r="C103" s="306" t="s">
        <v>239</v>
      </c>
      <c r="D103" s="306"/>
      <c r="E103" s="166"/>
      <c r="F103" s="141"/>
      <c r="H103" s="170"/>
      <c r="I103" s="175" t="s">
        <v>151</v>
      </c>
      <c r="J103" s="171" t="s">
        <v>165</v>
      </c>
      <c r="K103" s="172">
        <v>35</v>
      </c>
    </row>
    <row r="104" spans="2:11" ht="32.049999999999997" customHeight="1">
      <c r="B104" s="142"/>
      <c r="C104" s="305" t="s">
        <v>240</v>
      </c>
      <c r="D104" s="305"/>
      <c r="E104" s="166"/>
      <c r="F104" s="141"/>
      <c r="H104" s="170"/>
      <c r="I104" s="175"/>
      <c r="J104" s="171" t="s">
        <v>178</v>
      </c>
      <c r="K104" s="172"/>
    </row>
    <row r="105" spans="2:11" ht="37" customHeight="1">
      <c r="B105" s="142"/>
      <c r="C105" s="305" t="s">
        <v>241</v>
      </c>
      <c r="D105" s="305"/>
      <c r="E105" s="166"/>
      <c r="F105" s="141"/>
      <c r="H105" s="170"/>
      <c r="I105" s="175"/>
      <c r="J105" s="171" t="s">
        <v>179</v>
      </c>
      <c r="K105" s="172"/>
    </row>
    <row r="106" spans="2:11">
      <c r="B106" s="142"/>
      <c r="C106" s="224" t="s">
        <v>285</v>
      </c>
      <c r="D106" s="258"/>
      <c r="E106" s="166"/>
      <c r="F106" s="141"/>
      <c r="H106" s="170"/>
      <c r="I106" s="175"/>
      <c r="J106" s="171" t="s">
        <v>180</v>
      </c>
      <c r="K106" s="172"/>
    </row>
    <row r="107" spans="2:11" ht="37" customHeight="1">
      <c r="B107" s="184" t="s">
        <v>153</v>
      </c>
      <c r="C107" s="308" t="s">
        <v>266</v>
      </c>
      <c r="D107" s="308"/>
      <c r="E107" s="309"/>
      <c r="F107" s="104">
        <f>MIN(5,SUMIF(F108:F119,TRUE,E108:E119)+E120+SUMIF(F124:F125,TRUE,E124:E125))</f>
        <v>0</v>
      </c>
      <c r="H107" s="170"/>
      <c r="I107" s="175" t="s">
        <v>153</v>
      </c>
      <c r="J107" s="171"/>
      <c r="K107" s="172">
        <v>35</v>
      </c>
    </row>
    <row r="108" spans="2:11" ht="81" customHeight="1">
      <c r="B108" s="142"/>
      <c r="C108" s="294" t="s">
        <v>275</v>
      </c>
      <c r="D108" s="294"/>
      <c r="E108" s="165">
        <v>1</v>
      </c>
      <c r="F108" s="143"/>
      <c r="H108" s="170"/>
      <c r="I108" s="171"/>
      <c r="J108" s="171"/>
      <c r="K108" s="172">
        <v>35</v>
      </c>
    </row>
    <row r="109" spans="2:11" ht="64" customHeight="1">
      <c r="B109" s="142"/>
      <c r="C109" s="294" t="s">
        <v>267</v>
      </c>
      <c r="D109" s="294"/>
      <c r="E109" s="165">
        <v>1</v>
      </c>
      <c r="F109" s="143"/>
      <c r="H109" s="170"/>
      <c r="I109" s="171"/>
      <c r="J109" s="171"/>
      <c r="K109" s="172">
        <v>25</v>
      </c>
    </row>
    <row r="110" spans="2:11" ht="66" customHeight="1">
      <c r="B110" s="142"/>
      <c r="C110" s="294" t="s">
        <v>276</v>
      </c>
      <c r="D110" s="294"/>
      <c r="E110" s="165">
        <v>1</v>
      </c>
      <c r="F110" s="143"/>
      <c r="H110" s="170"/>
      <c r="I110" s="171"/>
      <c r="J110" s="171"/>
      <c r="K110" s="172"/>
    </row>
    <row r="111" spans="2:11" ht="16" customHeight="1">
      <c r="B111" s="142"/>
      <c r="C111" s="294" t="s">
        <v>277</v>
      </c>
      <c r="D111" s="294"/>
      <c r="E111" s="165">
        <v>1</v>
      </c>
      <c r="F111" s="143"/>
      <c r="H111" s="170"/>
      <c r="I111" s="171"/>
      <c r="J111" s="171"/>
      <c r="K111" s="172"/>
    </row>
    <row r="112" spans="2:11" ht="16" customHeight="1">
      <c r="B112" s="142"/>
      <c r="C112" s="294" t="s">
        <v>278</v>
      </c>
      <c r="D112" s="294"/>
      <c r="E112" s="165">
        <v>1</v>
      </c>
      <c r="F112" s="143"/>
      <c r="H112" s="170"/>
      <c r="I112" s="171"/>
      <c r="J112" s="171"/>
      <c r="K112" s="172"/>
    </row>
    <row r="113" spans="2:11" ht="37" customHeight="1">
      <c r="B113" s="142"/>
      <c r="C113" s="294" t="s">
        <v>279</v>
      </c>
      <c r="D113" s="294"/>
      <c r="E113" s="165">
        <v>1</v>
      </c>
      <c r="F113" s="143"/>
      <c r="H113" s="170"/>
      <c r="I113" s="171"/>
      <c r="J113" s="171"/>
      <c r="K113" s="172"/>
    </row>
    <row r="114" spans="2:11">
      <c r="B114" s="142"/>
      <c r="C114" s="306" t="s">
        <v>239</v>
      </c>
      <c r="D114" s="306"/>
      <c r="E114" s="166"/>
      <c r="F114" s="141"/>
      <c r="H114" s="170"/>
      <c r="I114" s="171"/>
      <c r="J114" s="171"/>
      <c r="K114" s="172"/>
    </row>
    <row r="115" spans="2:11">
      <c r="B115" s="142"/>
      <c r="C115" s="305" t="s">
        <v>240</v>
      </c>
      <c r="D115" s="305"/>
      <c r="E115" s="166"/>
      <c r="F115" s="141"/>
      <c r="H115" s="170"/>
      <c r="I115" s="171"/>
      <c r="J115" s="171"/>
      <c r="K115" s="172"/>
    </row>
    <row r="116" spans="2:11">
      <c r="B116" s="142"/>
      <c r="C116" s="305" t="s">
        <v>241</v>
      </c>
      <c r="D116" s="305"/>
      <c r="E116" s="166"/>
      <c r="F116" s="141"/>
      <c r="H116" s="170"/>
      <c r="I116" s="171"/>
      <c r="J116" s="171"/>
      <c r="K116" s="172"/>
    </row>
    <row r="117" spans="2:11" ht="68.05" customHeight="1">
      <c r="B117" s="142"/>
      <c r="C117" s="307" t="s">
        <v>280</v>
      </c>
      <c r="D117" s="307"/>
      <c r="E117" s="165">
        <v>1</v>
      </c>
      <c r="F117" s="143"/>
      <c r="H117" s="170"/>
      <c r="I117" s="171"/>
      <c r="J117" s="171"/>
      <c r="K117" s="172">
        <v>20</v>
      </c>
    </row>
    <row r="118" spans="2:11" ht="34" customHeight="1">
      <c r="B118" s="142"/>
      <c r="C118" s="294" t="s">
        <v>281</v>
      </c>
      <c r="D118" s="294"/>
      <c r="E118" s="165">
        <v>2</v>
      </c>
      <c r="F118" s="143"/>
      <c r="H118" s="170"/>
      <c r="I118" s="171"/>
      <c r="J118" s="171"/>
      <c r="K118" s="172">
        <v>10</v>
      </c>
    </row>
    <row r="119" spans="2:11">
      <c r="B119" s="142"/>
      <c r="C119" s="294" t="s">
        <v>282</v>
      </c>
      <c r="D119" s="294"/>
      <c r="E119" s="166">
        <v>1</v>
      </c>
      <c r="F119" s="143"/>
      <c r="H119" s="170"/>
      <c r="I119" s="171"/>
      <c r="J119" s="171"/>
      <c r="K119" s="172"/>
    </row>
    <row r="120" spans="2:11" ht="33" customHeight="1" thickBot="1">
      <c r="B120" s="142"/>
      <c r="C120" s="294" t="s">
        <v>283</v>
      </c>
      <c r="D120" s="294"/>
      <c r="E120" s="166">
        <f>MIN(SUM(IF(F121,E121,0),IF(F122,E122,0),(IF(F123,E123,0))),2)</f>
        <v>0</v>
      </c>
      <c r="F120" s="144"/>
      <c r="H120" s="176"/>
      <c r="I120" s="177"/>
      <c r="J120" s="177"/>
      <c r="K120" s="178"/>
    </row>
    <row r="121" spans="2:11">
      <c r="B121" s="142"/>
      <c r="C121" s="179"/>
      <c r="D121" s="179" t="s">
        <v>154</v>
      </c>
      <c r="E121" s="165">
        <v>2</v>
      </c>
      <c r="F121" s="143"/>
    </row>
    <row r="122" spans="2:11">
      <c r="B122" s="142"/>
      <c r="C122" s="179"/>
      <c r="D122" s="179" t="s">
        <v>155</v>
      </c>
      <c r="E122" s="165">
        <v>1</v>
      </c>
      <c r="F122" s="143"/>
    </row>
    <row r="123" spans="2:11">
      <c r="B123" s="142"/>
      <c r="C123" s="179"/>
      <c r="D123" s="179" t="s">
        <v>264</v>
      </c>
      <c r="E123" s="165">
        <v>2</v>
      </c>
      <c r="F123" s="143"/>
    </row>
    <row r="124" spans="2:11">
      <c r="B124" s="142"/>
      <c r="C124" s="113" t="s">
        <v>315</v>
      </c>
      <c r="D124" s="180"/>
      <c r="E124" s="165">
        <v>1</v>
      </c>
      <c r="F124" s="143"/>
    </row>
    <row r="125" spans="2:11" ht="37" customHeight="1">
      <c r="B125" s="142"/>
      <c r="C125" s="294" t="s">
        <v>316</v>
      </c>
      <c r="D125" s="294"/>
      <c r="E125" s="165">
        <v>2</v>
      </c>
      <c r="F125" s="143"/>
    </row>
    <row r="126" spans="2:11" ht="16.3" thickBot="1">
      <c r="B126" s="145"/>
      <c r="C126" s="146"/>
      <c r="D126" s="146"/>
      <c r="E126" s="146"/>
      <c r="F126" s="147"/>
    </row>
    <row r="128" spans="2:11">
      <c r="B128" s="224" t="s">
        <v>192</v>
      </c>
    </row>
  </sheetData>
  <mergeCells count="58">
    <mergeCell ref="C117:D117"/>
    <mergeCell ref="C99:D99"/>
    <mergeCell ref="C98:D98"/>
    <mergeCell ref="C107:E107"/>
    <mergeCell ref="C125:D125"/>
    <mergeCell ref="C104:D104"/>
    <mergeCell ref="C105:D105"/>
    <mergeCell ref="C100:D100"/>
    <mergeCell ref="C101:D101"/>
    <mergeCell ref="C110:D110"/>
    <mergeCell ref="C111:D111"/>
    <mergeCell ref="C113:D113"/>
    <mergeCell ref="C118:D118"/>
    <mergeCell ref="C120:D120"/>
    <mergeCell ref="C119:D119"/>
    <mergeCell ref="C114:D114"/>
    <mergeCell ref="C115:D115"/>
    <mergeCell ref="C112:D112"/>
    <mergeCell ref="C116:D116"/>
    <mergeCell ref="C103:D103"/>
    <mergeCell ref="C38:D38"/>
    <mergeCell ref="C87:D87"/>
    <mergeCell ref="C91:D91"/>
    <mergeCell ref="C72:D72"/>
    <mergeCell ref="C39:D39"/>
    <mergeCell ref="C40:D40"/>
    <mergeCell ref="C43:D43"/>
    <mergeCell ref="C44:D44"/>
    <mergeCell ref="C45:D45"/>
    <mergeCell ref="C48:D48"/>
    <mergeCell ref="C51:D51"/>
    <mergeCell ref="C65:D65"/>
    <mergeCell ref="C66:D66"/>
    <mergeCell ref="C71:D71"/>
    <mergeCell ref="C57:D57"/>
    <mergeCell ref="C60:D60"/>
    <mergeCell ref="C27:D27"/>
    <mergeCell ref="C30:D30"/>
    <mergeCell ref="C31:D31"/>
    <mergeCell ref="C35:D35"/>
    <mergeCell ref="C41:D41"/>
    <mergeCell ref="B1:F1"/>
    <mergeCell ref="C3:D3"/>
    <mergeCell ref="C13:D13"/>
    <mergeCell ref="C15:D15"/>
    <mergeCell ref="C17:D17"/>
    <mergeCell ref="H95:K95"/>
    <mergeCell ref="C73:D73"/>
    <mergeCell ref="C77:D77"/>
    <mergeCell ref="C78:D78"/>
    <mergeCell ref="C79:D79"/>
    <mergeCell ref="C89:D89"/>
    <mergeCell ref="C90:D90"/>
    <mergeCell ref="C97:D97"/>
    <mergeCell ref="C96:D96"/>
    <mergeCell ref="C108:D108"/>
    <mergeCell ref="C109:D109"/>
    <mergeCell ref="C102:D102"/>
  </mergeCells>
  <dataValidations count="4">
    <dataValidation type="whole" operator="greaterThanOrEqual" allowBlank="1" showInputMessage="1" showErrorMessage="1" sqref="F88" xr:uid="{ACBC6B96-7F1E-5B40-995E-68BA0104DE08}">
      <formula1>0</formula1>
    </dataValidation>
    <dataValidation type="list" allowBlank="1" showInputMessage="1" showErrorMessage="1" sqref="F12" xr:uid="{66D72AFB-E7A1-764A-85DD-3499525EFA7D}">
      <formula1>$I$97:$I$102</formula1>
    </dataValidation>
    <dataValidation type="list" allowBlank="1" showInputMessage="1" showErrorMessage="1" sqref="F84:F87 F108:F113 F121:F125 F117:F119 F96:F102 F106" xr:uid="{D547D79E-9B12-6345-8F28-82BA667B2E6A}">
      <formula1>$H$98:$H$99</formula1>
    </dataValidation>
    <dataValidation type="list" allowBlank="1" showInputMessage="1" showErrorMessage="1" sqref="F23" xr:uid="{1C891656-F1D4-3540-A78F-FC39A2034175}">
      <formula1>$J$98:$J$106</formula1>
    </dataValidation>
  </dataValidations>
  <pageMargins left="0.7" right="0.7" top="0.75" bottom="0.75" header="0.3" footer="0.3"/>
  <pageSetup scale="42" fitToHeight="2" orientation="portrait" horizontalDpi="0" verticalDpi="0"/>
  <rowBreaks count="1" manualBreakCount="1">
    <brk id="45"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EEEE7-6F82-C746-BBF2-05CE2291522C}">
  <sheetPr>
    <pageSetUpPr fitToPage="1"/>
  </sheetPr>
  <dimension ref="A1:Y273"/>
  <sheetViews>
    <sheetView showGridLines="0" zoomScale="80" zoomScaleNormal="80" workbookViewId="0">
      <selection activeCell="D13" sqref="D13"/>
    </sheetView>
  </sheetViews>
  <sheetFormatPr defaultColWidth="10.85546875" defaultRowHeight="15.9"/>
  <cols>
    <col min="1" max="1" width="3.140625" customWidth="1"/>
    <col min="2" max="2" width="44.640625" customWidth="1"/>
    <col min="3" max="3" width="23.5" customWidth="1"/>
    <col min="4" max="4" width="24" customWidth="1"/>
    <col min="5" max="5" width="24.5" customWidth="1"/>
    <col min="6" max="6" width="25.85546875" customWidth="1"/>
    <col min="7" max="7" width="24.35546875" customWidth="1"/>
    <col min="8" max="8" width="23.85546875" customWidth="1"/>
    <col min="9" max="9" width="17.5" customWidth="1"/>
    <col min="10" max="11" width="20.5" customWidth="1"/>
    <col min="12" max="12" width="4.85546875" customWidth="1"/>
    <col min="13" max="13" width="10.140625" bestFit="1" customWidth="1"/>
    <col min="14" max="14" width="11.5" bestFit="1" customWidth="1"/>
    <col min="15" max="15" width="11.640625" bestFit="1" customWidth="1"/>
    <col min="16" max="18" width="10.5" bestFit="1" customWidth="1"/>
    <col min="19" max="19" width="10.5" customWidth="1"/>
  </cols>
  <sheetData>
    <row r="1" spans="2:11" ht="45" customHeight="1">
      <c r="B1" s="312" t="s">
        <v>287</v>
      </c>
      <c r="C1" s="312"/>
      <c r="D1" s="312"/>
      <c r="E1" s="312"/>
      <c r="F1" s="312"/>
      <c r="G1" s="312"/>
      <c r="H1" s="312"/>
      <c r="I1" s="312"/>
      <c r="J1" s="257"/>
      <c r="K1" s="257"/>
    </row>
    <row r="2" spans="2:11" ht="16.3" thickBot="1"/>
    <row r="3" spans="2:11">
      <c r="C3" s="191"/>
      <c r="D3" s="199" t="s">
        <v>185</v>
      </c>
      <c r="E3" s="198">
        <f>C68</f>
        <v>40118146</v>
      </c>
      <c r="F3" s="192"/>
    </row>
    <row r="4" spans="2:11">
      <c r="C4" s="193"/>
      <c r="D4" s="32"/>
      <c r="E4" s="33" t="s">
        <v>187</v>
      </c>
      <c r="F4" s="194"/>
    </row>
    <row r="5" spans="2:11" ht="16.3" thickBot="1">
      <c r="C5" s="193"/>
      <c r="D5" s="32" t="s">
        <v>186</v>
      </c>
      <c r="E5" s="200">
        <f>H68</f>
        <v>56642500</v>
      </c>
      <c r="F5" s="194"/>
    </row>
    <row r="6" spans="2:11" ht="5.05" customHeight="1">
      <c r="C6" s="193"/>
      <c r="F6" s="194"/>
    </row>
    <row r="7" spans="2:11" ht="16.3" thickBot="1">
      <c r="C7" s="195"/>
      <c r="D7" s="105" t="s">
        <v>184</v>
      </c>
      <c r="E7" s="197">
        <f>IF(E5&gt;0,E3/E5,0)</f>
        <v>0.70826933839431527</v>
      </c>
      <c r="F7" s="196"/>
    </row>
    <row r="9" spans="2:11" ht="16.3" thickBot="1">
      <c r="C9" s="242" t="s">
        <v>209</v>
      </c>
    </row>
    <row r="10" spans="2:11" ht="16.3" thickBot="1">
      <c r="B10" s="78" t="s">
        <v>220</v>
      </c>
      <c r="C10" s="90" t="s">
        <v>111</v>
      </c>
      <c r="D10" s="79"/>
      <c r="E10" s="79"/>
      <c r="F10" s="79"/>
      <c r="G10" s="79"/>
      <c r="H10" s="79"/>
      <c r="I10" s="80"/>
    </row>
    <row r="11" spans="2:11" ht="16.3" thickTop="1">
      <c r="B11" s="69" t="s">
        <v>200</v>
      </c>
      <c r="C11" s="244" t="str">
        <f>Scoring!C3</f>
        <v xml:space="preserve"> </v>
      </c>
      <c r="D11" s="207"/>
      <c r="E11" s="72"/>
      <c r="F11" s="72"/>
      <c r="G11" s="72"/>
      <c r="H11" s="72"/>
      <c r="I11" s="73"/>
    </row>
    <row r="12" spans="2:11">
      <c r="B12" s="34" t="s">
        <v>7</v>
      </c>
      <c r="C12" s="245" t="s">
        <v>14</v>
      </c>
      <c r="D12" s="207"/>
      <c r="E12" s="72"/>
      <c r="F12" s="72"/>
      <c r="G12" s="72"/>
      <c r="H12" s="72"/>
      <c r="I12" s="73"/>
    </row>
    <row r="13" spans="2:11" ht="17.05" customHeight="1">
      <c r="B13" s="35" t="s">
        <v>146</v>
      </c>
      <c r="C13" s="245" t="s">
        <v>289</v>
      </c>
      <c r="D13" s="207"/>
      <c r="E13" s="72"/>
      <c r="F13" s="72"/>
      <c r="G13" s="72"/>
      <c r="H13" s="72"/>
      <c r="I13" s="73"/>
    </row>
    <row r="14" spans="2:11">
      <c r="B14" s="34" t="s">
        <v>250</v>
      </c>
      <c r="C14" s="245" t="b">
        <v>0</v>
      </c>
      <c r="D14" s="207"/>
      <c r="E14" s="72"/>
      <c r="F14" s="72"/>
      <c r="G14" s="72"/>
      <c r="H14" s="72"/>
      <c r="I14" s="73"/>
    </row>
    <row r="15" spans="2:11">
      <c r="B15" s="34" t="s">
        <v>201</v>
      </c>
      <c r="C15" s="245" t="b">
        <v>0</v>
      </c>
      <c r="D15" s="207"/>
      <c r="E15" s="72"/>
      <c r="F15" s="72"/>
      <c r="G15" s="72"/>
      <c r="H15" s="72"/>
      <c r="I15" s="73"/>
    </row>
    <row r="16" spans="2:11">
      <c r="B16" s="34"/>
      <c r="C16" s="251"/>
      <c r="D16" s="207"/>
      <c r="E16" s="72"/>
      <c r="F16" s="72"/>
      <c r="G16" s="72"/>
      <c r="H16" s="72"/>
      <c r="I16" s="73"/>
    </row>
    <row r="17" spans="2:11">
      <c r="B17" s="34" t="s">
        <v>102</v>
      </c>
      <c r="C17" s="245" t="s">
        <v>97</v>
      </c>
      <c r="D17" s="207"/>
      <c r="E17" s="72"/>
      <c r="F17" s="72"/>
      <c r="G17" s="72"/>
      <c r="H17" s="72"/>
      <c r="I17" s="73"/>
    </row>
    <row r="18" spans="2:11">
      <c r="B18" s="34" t="s">
        <v>202</v>
      </c>
      <c r="C18" s="245" t="b">
        <v>0</v>
      </c>
      <c r="D18" s="207" t="s">
        <v>211</v>
      </c>
      <c r="E18" s="72"/>
      <c r="F18" s="72"/>
      <c r="G18" s="72"/>
      <c r="H18" s="72"/>
      <c r="I18" s="73"/>
    </row>
    <row r="19" spans="2:11" ht="17.05" customHeight="1">
      <c r="B19" s="35" t="s">
        <v>203</v>
      </c>
      <c r="C19" s="245" t="b">
        <v>1</v>
      </c>
      <c r="D19" s="207" t="s">
        <v>211</v>
      </c>
      <c r="E19" s="72"/>
      <c r="F19" s="72"/>
      <c r="G19" s="72"/>
      <c r="H19" s="72"/>
      <c r="I19" s="73"/>
    </row>
    <row r="20" spans="2:11" ht="17.05" customHeight="1">
      <c r="B20" s="35"/>
      <c r="C20" s="251"/>
      <c r="D20" s="207"/>
      <c r="E20" s="72"/>
      <c r="F20" s="72"/>
      <c r="G20" s="72"/>
      <c r="H20" s="72"/>
      <c r="I20" s="73"/>
    </row>
    <row r="21" spans="2:11">
      <c r="B21" s="34" t="s">
        <v>204</v>
      </c>
      <c r="C21" s="245" t="b">
        <v>0</v>
      </c>
      <c r="D21" s="207" t="str">
        <f>IF(C21,"You must complete the Acq/ Rehab with Lower than CTCAC Rent Table in columns K:Q","Please skip the Acq/ Rehab with Lower than CTCAC Rent Table in columns K:Q")</f>
        <v>Please skip the Acq/ Rehab with Lower than CTCAC Rent Table in columns K:Q</v>
      </c>
      <c r="E21" s="72"/>
      <c r="F21" s="72"/>
      <c r="G21" s="72"/>
      <c r="H21" s="72"/>
      <c r="I21" s="73"/>
    </row>
    <row r="22" spans="2:11">
      <c r="B22" s="34" t="s">
        <v>205</v>
      </c>
      <c r="C22" s="245" t="b">
        <v>1</v>
      </c>
      <c r="D22" s="207" t="s">
        <v>130</v>
      </c>
      <c r="E22" s="72"/>
      <c r="F22" s="72"/>
      <c r="G22" s="72"/>
      <c r="H22" s="72"/>
      <c r="I22" s="73"/>
    </row>
    <row r="23" spans="2:11">
      <c r="B23" s="34" t="s">
        <v>206</v>
      </c>
      <c r="C23" s="245" t="b">
        <v>0</v>
      </c>
      <c r="D23" s="207" t="s">
        <v>212</v>
      </c>
      <c r="E23" s="72"/>
      <c r="F23" s="72"/>
      <c r="G23" s="72"/>
      <c r="H23" s="72"/>
      <c r="I23" s="73"/>
    </row>
    <row r="24" spans="2:11">
      <c r="B24" s="34"/>
      <c r="C24" s="276"/>
      <c r="D24" s="207"/>
      <c r="E24" s="72"/>
      <c r="F24" s="72"/>
      <c r="G24" s="72"/>
      <c r="H24" s="72"/>
      <c r="I24" s="73"/>
    </row>
    <row r="25" spans="2:11">
      <c r="B25" s="34" t="s">
        <v>199</v>
      </c>
      <c r="C25" s="245" t="b">
        <v>1</v>
      </c>
      <c r="D25" s="207"/>
      <c r="E25" s="72"/>
      <c r="F25" s="72"/>
      <c r="G25" s="72"/>
      <c r="H25" s="72"/>
      <c r="I25" s="73"/>
    </row>
    <row r="26" spans="2:11" ht="49" customHeight="1">
      <c r="B26" s="34" t="s">
        <v>251</v>
      </c>
      <c r="C26" s="292" t="s">
        <v>297</v>
      </c>
      <c r="D26" s="322" t="s">
        <v>252</v>
      </c>
      <c r="E26" s="323"/>
      <c r="F26" s="323"/>
      <c r="G26" s="323"/>
      <c r="H26" s="323"/>
      <c r="I26" s="324"/>
    </row>
    <row r="27" spans="2:11">
      <c r="B27" s="34"/>
      <c r="C27" s="251"/>
      <c r="D27" s="207"/>
      <c r="E27" s="72"/>
      <c r="F27" s="72"/>
      <c r="G27" s="72"/>
      <c r="H27" s="72"/>
      <c r="I27" s="73"/>
    </row>
    <row r="28" spans="2:11" ht="16.3" thickBot="1">
      <c r="B28" s="212" t="s">
        <v>207</v>
      </c>
      <c r="C28" s="246">
        <v>200000</v>
      </c>
      <c r="D28" s="313" t="s">
        <v>195</v>
      </c>
      <c r="E28" s="314"/>
      <c r="F28" s="314"/>
      <c r="G28" s="314"/>
      <c r="H28" s="314"/>
      <c r="I28" s="315"/>
      <c r="J28" s="259"/>
      <c r="K28" s="259"/>
    </row>
    <row r="29" spans="2:11" ht="16.3" thickBot="1">
      <c r="C29" s="33"/>
    </row>
    <row r="30" spans="2:11" ht="16.3" thickBot="1">
      <c r="B30" s="81" t="s">
        <v>108</v>
      </c>
      <c r="C30" s="90" t="s">
        <v>111</v>
      </c>
      <c r="D30" s="79"/>
      <c r="E30" s="79"/>
      <c r="F30" s="79"/>
      <c r="G30" s="79"/>
      <c r="H30" s="79"/>
      <c r="I30" s="80"/>
    </row>
    <row r="31" spans="2:11" ht="16.3" thickTop="1">
      <c r="B31" s="70" t="s">
        <v>196</v>
      </c>
      <c r="C31" s="190">
        <v>0.09</v>
      </c>
      <c r="D31" s="71"/>
      <c r="E31" s="72"/>
      <c r="F31" s="72"/>
      <c r="G31" s="72"/>
      <c r="H31" s="72"/>
      <c r="I31" s="73"/>
    </row>
    <row r="32" spans="2:11">
      <c r="B32" s="70" t="s">
        <v>230</v>
      </c>
      <c r="C32" s="255">
        <v>30000000</v>
      </c>
      <c r="D32" s="71" t="s">
        <v>232</v>
      </c>
      <c r="E32" s="72"/>
      <c r="F32" s="72"/>
      <c r="G32" s="72"/>
      <c r="H32" s="72"/>
      <c r="I32" s="73"/>
    </row>
    <row r="33" spans="2:20">
      <c r="B33" s="70"/>
      <c r="C33" s="254"/>
      <c r="D33" s="71"/>
      <c r="E33" s="72"/>
      <c r="F33" s="72"/>
      <c r="G33" s="72"/>
      <c r="H33" s="72"/>
      <c r="I33" s="73"/>
    </row>
    <row r="34" spans="2:20">
      <c r="B34" s="70" t="s">
        <v>198</v>
      </c>
      <c r="C34" s="249"/>
      <c r="D34" s="71"/>
      <c r="E34" s="72"/>
      <c r="F34" s="72"/>
      <c r="G34" s="72"/>
      <c r="H34" s="72"/>
      <c r="I34" s="73"/>
    </row>
    <row r="35" spans="2:20">
      <c r="B35" s="235" t="s">
        <v>197</v>
      </c>
      <c r="C35" s="98">
        <v>9000000</v>
      </c>
      <c r="D35" s="41" t="s">
        <v>231</v>
      </c>
      <c r="E35" s="42"/>
      <c r="F35" s="42"/>
      <c r="G35" s="42"/>
      <c r="H35" s="42"/>
      <c r="I35" s="43"/>
    </row>
    <row r="36" spans="2:20">
      <c r="B36" s="235" t="s">
        <v>221</v>
      </c>
      <c r="C36" s="99">
        <v>15000000</v>
      </c>
      <c r="D36" s="41" t="s">
        <v>194</v>
      </c>
      <c r="E36" s="42"/>
      <c r="F36" s="42"/>
      <c r="G36" s="42"/>
      <c r="H36" s="42"/>
      <c r="I36" s="43"/>
    </row>
    <row r="37" spans="2:20">
      <c r="B37" s="237" t="s">
        <v>219</v>
      </c>
      <c r="C37" s="222">
        <v>6500000</v>
      </c>
      <c r="D37" s="41" t="s">
        <v>259</v>
      </c>
      <c r="E37" s="42"/>
      <c r="F37" s="42"/>
      <c r="G37" s="42"/>
      <c r="H37" s="42"/>
      <c r="I37" s="43"/>
    </row>
    <row r="38" spans="2:20">
      <c r="B38" s="34" t="s">
        <v>208</v>
      </c>
      <c r="C38" s="250"/>
      <c r="D38" s="41"/>
      <c r="E38" s="42"/>
      <c r="F38" s="42"/>
      <c r="G38" s="42"/>
      <c r="H38" s="42"/>
      <c r="I38" s="43"/>
    </row>
    <row r="39" spans="2:20">
      <c r="B39" s="235" t="s">
        <v>218</v>
      </c>
      <c r="C39" s="40">
        <v>6000000</v>
      </c>
      <c r="D39" s="41"/>
      <c r="E39" s="42"/>
      <c r="F39" s="42"/>
      <c r="G39" s="42"/>
      <c r="H39" s="42"/>
      <c r="I39" s="43"/>
    </row>
    <row r="40" spans="2:20" ht="16" customHeight="1" thickBot="1">
      <c r="B40" s="236" t="s">
        <v>293</v>
      </c>
      <c r="C40" s="232">
        <v>5000000</v>
      </c>
      <c r="D40" s="319" t="s">
        <v>294</v>
      </c>
      <c r="E40" s="320"/>
      <c r="F40" s="320"/>
      <c r="G40" s="320"/>
      <c r="H40" s="320"/>
      <c r="I40" s="321"/>
      <c r="J40" s="260"/>
      <c r="K40" s="260"/>
    </row>
    <row r="41" spans="2:20">
      <c r="M41" s="248" t="s">
        <v>215</v>
      </c>
    </row>
    <row r="42" spans="2:20" ht="16.3" thickBot="1">
      <c r="C42" s="247" t="s">
        <v>214</v>
      </c>
      <c r="M42" s="248" t="s">
        <v>216</v>
      </c>
    </row>
    <row r="43" spans="2:20" ht="16.3" thickBot="1">
      <c r="C43" s="247" t="s">
        <v>213</v>
      </c>
      <c r="M43" s="316" t="s">
        <v>217</v>
      </c>
      <c r="N43" s="317"/>
      <c r="O43" s="317"/>
      <c r="P43" s="317"/>
      <c r="Q43" s="317"/>
      <c r="R43" s="317"/>
      <c r="S43" s="318"/>
      <c r="T43" s="1"/>
    </row>
    <row r="44" spans="2:20" ht="32.6" thickTop="1" thickBot="1">
      <c r="B44" s="243" t="s">
        <v>210</v>
      </c>
      <c r="C44" s="90" t="s">
        <v>8</v>
      </c>
      <c r="D44" s="90" t="s">
        <v>9</v>
      </c>
      <c r="E44" s="90" t="s">
        <v>10</v>
      </c>
      <c r="F44" s="90" t="s">
        <v>11</v>
      </c>
      <c r="G44" s="90" t="s">
        <v>12</v>
      </c>
      <c r="H44" s="90" t="s">
        <v>76</v>
      </c>
      <c r="I44" s="90" t="s">
        <v>82</v>
      </c>
      <c r="J44" s="284" t="s">
        <v>242</v>
      </c>
      <c r="K44" s="264" t="s">
        <v>244</v>
      </c>
      <c r="M44" s="230" t="s">
        <v>193</v>
      </c>
      <c r="N44" s="213" t="s">
        <v>8</v>
      </c>
      <c r="O44" s="213" t="s">
        <v>9</v>
      </c>
      <c r="P44" s="213" t="s">
        <v>10</v>
      </c>
      <c r="Q44" s="213" t="s">
        <v>11</v>
      </c>
      <c r="R44" s="213" t="s">
        <v>12</v>
      </c>
      <c r="S44" s="214" t="s">
        <v>76</v>
      </c>
      <c r="T44" s="225"/>
    </row>
    <row r="45" spans="2:20" ht="16.3" thickTop="1">
      <c r="B45" s="74">
        <v>0.3</v>
      </c>
      <c r="C45" s="75">
        <v>5</v>
      </c>
      <c r="D45" s="75"/>
      <c r="E45" s="75"/>
      <c r="F45" s="75"/>
      <c r="G45" s="75"/>
      <c r="H45" s="75"/>
      <c r="I45" s="263">
        <f t="shared" ref="I45:I59" si="0">SUM(C45:H45)</f>
        <v>5</v>
      </c>
      <c r="J45" s="283" t="b">
        <v>0</v>
      </c>
      <c r="K45" s="265" t="s">
        <v>245</v>
      </c>
      <c r="M45" s="229">
        <f>B45</f>
        <v>0.3</v>
      </c>
      <c r="N45" s="89">
        <v>100</v>
      </c>
      <c r="O45" s="89">
        <v>200</v>
      </c>
      <c r="P45" s="89">
        <v>300</v>
      </c>
      <c r="Q45" s="89"/>
      <c r="R45" s="89"/>
      <c r="S45" s="76"/>
      <c r="T45" s="30"/>
    </row>
    <row r="46" spans="2:20">
      <c r="B46" s="44">
        <v>0.25</v>
      </c>
      <c r="C46" s="45"/>
      <c r="D46" s="45">
        <v>26</v>
      </c>
      <c r="E46" s="45"/>
      <c r="F46" s="45"/>
      <c r="G46" s="45"/>
      <c r="H46" s="45"/>
      <c r="I46" s="261">
        <f t="shared" si="0"/>
        <v>26</v>
      </c>
      <c r="J46" s="282" t="b">
        <v>1</v>
      </c>
      <c r="K46" s="266" t="s">
        <v>246</v>
      </c>
      <c r="M46" s="227">
        <f t="shared" ref="M46:M59" si="1">B46</f>
        <v>0.25</v>
      </c>
      <c r="N46" s="40">
        <v>400</v>
      </c>
      <c r="O46" s="40">
        <v>500</v>
      </c>
      <c r="P46" s="40">
        <v>600</v>
      </c>
      <c r="Q46" s="40"/>
      <c r="R46" s="40"/>
      <c r="S46" s="46"/>
      <c r="T46" s="30"/>
    </row>
    <row r="47" spans="2:20">
      <c r="B47" s="44">
        <v>0.45</v>
      </c>
      <c r="C47" s="45"/>
      <c r="D47" s="45"/>
      <c r="E47" s="45">
        <v>7</v>
      </c>
      <c r="F47" s="45"/>
      <c r="G47" s="45"/>
      <c r="H47" s="45"/>
      <c r="I47" s="261">
        <f t="shared" si="0"/>
        <v>7</v>
      </c>
      <c r="J47" s="282" t="b">
        <v>0</v>
      </c>
      <c r="K47" s="266" t="s">
        <v>163</v>
      </c>
      <c r="M47" s="227">
        <f t="shared" si="1"/>
        <v>0.45</v>
      </c>
      <c r="N47" s="40">
        <v>700</v>
      </c>
      <c r="O47" s="40">
        <v>800</v>
      </c>
      <c r="P47" s="40">
        <v>900</v>
      </c>
      <c r="Q47" s="40"/>
      <c r="R47" s="40"/>
      <c r="S47" s="46"/>
      <c r="T47" s="30"/>
    </row>
    <row r="48" spans="2:20">
      <c r="B48" s="44">
        <v>0.5</v>
      </c>
      <c r="C48" s="45"/>
      <c r="D48" s="45"/>
      <c r="E48" s="45"/>
      <c r="F48" s="45">
        <v>8</v>
      </c>
      <c r="G48" s="45"/>
      <c r="H48" s="45"/>
      <c r="I48" s="261">
        <f t="shared" si="0"/>
        <v>8</v>
      </c>
      <c r="J48" s="282" t="b">
        <v>0</v>
      </c>
      <c r="K48" s="266" t="s">
        <v>163</v>
      </c>
      <c r="M48" s="227">
        <f t="shared" si="1"/>
        <v>0.5</v>
      </c>
      <c r="N48" s="40">
        <v>1000</v>
      </c>
      <c r="O48" s="40">
        <v>1000</v>
      </c>
      <c r="P48" s="40">
        <v>1000</v>
      </c>
      <c r="Q48" s="40"/>
      <c r="R48" s="40"/>
      <c r="S48" s="46"/>
      <c r="T48" s="30"/>
    </row>
    <row r="49" spans="2:20">
      <c r="B49" s="44">
        <v>0.6</v>
      </c>
      <c r="C49" s="45">
        <v>2</v>
      </c>
      <c r="D49" s="45">
        <v>21</v>
      </c>
      <c r="E49" s="45"/>
      <c r="F49" s="45"/>
      <c r="G49" s="45"/>
      <c r="H49" s="45"/>
      <c r="I49" s="261">
        <f t="shared" si="0"/>
        <v>23</v>
      </c>
      <c r="J49" s="282" t="b">
        <v>0</v>
      </c>
      <c r="K49" s="266" t="s">
        <v>247</v>
      </c>
      <c r="M49" s="227">
        <f t="shared" si="1"/>
        <v>0.6</v>
      </c>
      <c r="N49" s="40">
        <v>1000</v>
      </c>
      <c r="O49" s="40">
        <v>1000</v>
      </c>
      <c r="P49" s="40">
        <v>1000</v>
      </c>
      <c r="Q49" s="40"/>
      <c r="R49" s="40"/>
      <c r="S49" s="46"/>
      <c r="T49" s="30"/>
    </row>
    <row r="50" spans="2:20">
      <c r="B50" s="44">
        <v>0.4</v>
      </c>
      <c r="C50" s="68"/>
      <c r="D50" s="45"/>
      <c r="E50" s="45"/>
      <c r="F50" s="45"/>
      <c r="G50" s="45"/>
      <c r="H50" s="45"/>
      <c r="I50" s="261">
        <f t="shared" si="0"/>
        <v>0</v>
      </c>
      <c r="J50" s="282"/>
      <c r="K50" s="266"/>
      <c r="M50" s="227">
        <f t="shared" si="1"/>
        <v>0.4</v>
      </c>
      <c r="N50" s="40"/>
      <c r="O50" s="40"/>
      <c r="P50" s="40"/>
      <c r="Q50" s="40"/>
      <c r="R50" s="40"/>
      <c r="S50" s="46"/>
      <c r="T50" s="30"/>
    </row>
    <row r="51" spans="2:20">
      <c r="B51" s="44">
        <v>0.4</v>
      </c>
      <c r="C51" s="45"/>
      <c r="D51" s="45"/>
      <c r="E51" s="45"/>
      <c r="F51" s="45"/>
      <c r="G51" s="45"/>
      <c r="H51" s="45"/>
      <c r="I51" s="261">
        <f t="shared" si="0"/>
        <v>0</v>
      </c>
      <c r="J51" s="282"/>
      <c r="K51" s="266"/>
      <c r="M51" s="227">
        <f t="shared" si="1"/>
        <v>0.4</v>
      </c>
      <c r="N51" s="40"/>
      <c r="O51" s="40"/>
      <c r="P51" s="40"/>
      <c r="Q51" s="40"/>
      <c r="R51" s="40"/>
      <c r="S51" s="46"/>
      <c r="T51" s="30"/>
    </row>
    <row r="52" spans="2:20">
      <c r="B52" s="44">
        <v>0.45</v>
      </c>
      <c r="C52" s="45"/>
      <c r="D52" s="45"/>
      <c r="E52" s="45"/>
      <c r="F52" s="45"/>
      <c r="G52" s="45"/>
      <c r="H52" s="45"/>
      <c r="I52" s="261">
        <f t="shared" si="0"/>
        <v>0</v>
      </c>
      <c r="J52" s="282"/>
      <c r="K52" s="266"/>
      <c r="M52" s="227">
        <f t="shared" si="1"/>
        <v>0.45</v>
      </c>
      <c r="N52" s="40"/>
      <c r="O52" s="40"/>
      <c r="P52" s="40"/>
      <c r="Q52" s="40"/>
      <c r="R52" s="40"/>
      <c r="S52" s="46"/>
      <c r="T52" s="30"/>
    </row>
    <row r="53" spans="2:20">
      <c r="B53" s="44">
        <v>0.45</v>
      </c>
      <c r="C53" s="45"/>
      <c r="D53" s="45"/>
      <c r="E53" s="45"/>
      <c r="F53" s="45"/>
      <c r="G53" s="45"/>
      <c r="H53" s="45"/>
      <c r="I53" s="261">
        <f t="shared" si="0"/>
        <v>0</v>
      </c>
      <c r="J53" s="282"/>
      <c r="K53" s="266"/>
      <c r="M53" s="227">
        <f t="shared" si="1"/>
        <v>0.45</v>
      </c>
      <c r="N53" s="40"/>
      <c r="O53" s="40"/>
      <c r="P53" s="40"/>
      <c r="Q53" s="40"/>
      <c r="R53" s="40"/>
      <c r="S53" s="46"/>
      <c r="T53" s="30"/>
    </row>
    <row r="54" spans="2:20">
      <c r="B54" s="44">
        <v>0.5</v>
      </c>
      <c r="C54" s="45"/>
      <c r="D54" s="45"/>
      <c r="E54" s="45"/>
      <c r="F54" s="45"/>
      <c r="G54" s="45"/>
      <c r="H54" s="45"/>
      <c r="I54" s="261">
        <f t="shared" si="0"/>
        <v>0</v>
      </c>
      <c r="J54" s="282"/>
      <c r="K54" s="266"/>
      <c r="M54" s="227">
        <f t="shared" si="1"/>
        <v>0.5</v>
      </c>
      <c r="N54" s="40"/>
      <c r="O54" s="40"/>
      <c r="P54" s="40"/>
      <c r="Q54" s="40"/>
      <c r="R54" s="40"/>
      <c r="S54" s="46"/>
      <c r="T54" s="30"/>
    </row>
    <row r="55" spans="2:20">
      <c r="B55" s="44">
        <v>0.5</v>
      </c>
      <c r="C55" s="45"/>
      <c r="D55" s="45"/>
      <c r="E55" s="45"/>
      <c r="F55" s="45"/>
      <c r="G55" s="45"/>
      <c r="H55" s="45"/>
      <c r="I55" s="261">
        <f t="shared" si="0"/>
        <v>0</v>
      </c>
      <c r="J55" s="282"/>
      <c r="K55" s="266"/>
      <c r="M55" s="227">
        <f t="shared" si="1"/>
        <v>0.5</v>
      </c>
      <c r="N55" s="40"/>
      <c r="O55" s="40"/>
      <c r="P55" s="40"/>
      <c r="Q55" s="40"/>
      <c r="R55" s="40"/>
      <c r="S55" s="46"/>
      <c r="T55" s="30"/>
    </row>
    <row r="56" spans="2:20">
      <c r="B56" s="44">
        <v>0.55000000000000004</v>
      </c>
      <c r="C56" s="45"/>
      <c r="D56" s="45"/>
      <c r="E56" s="45"/>
      <c r="F56" s="45"/>
      <c r="G56" s="45"/>
      <c r="H56" s="45"/>
      <c r="I56" s="261">
        <f t="shared" si="0"/>
        <v>0</v>
      </c>
      <c r="J56" s="282"/>
      <c r="K56" s="266"/>
      <c r="M56" s="227">
        <f t="shared" si="1"/>
        <v>0.55000000000000004</v>
      </c>
      <c r="N56" s="40"/>
      <c r="O56" s="40"/>
      <c r="P56" s="40"/>
      <c r="Q56" s="40"/>
      <c r="R56" s="40"/>
      <c r="S56" s="46"/>
      <c r="T56" s="30"/>
    </row>
    <row r="57" spans="2:20">
      <c r="B57" s="44">
        <v>0.55000000000000004</v>
      </c>
      <c r="C57" s="45"/>
      <c r="D57" s="45"/>
      <c r="E57" s="45"/>
      <c r="F57" s="45"/>
      <c r="G57" s="45"/>
      <c r="H57" s="45"/>
      <c r="I57" s="261">
        <f t="shared" si="0"/>
        <v>0</v>
      </c>
      <c r="J57" s="282"/>
      <c r="K57" s="266"/>
      <c r="M57" s="227">
        <f t="shared" si="1"/>
        <v>0.55000000000000004</v>
      </c>
      <c r="N57" s="40"/>
      <c r="O57" s="40"/>
      <c r="P57" s="40"/>
      <c r="Q57" s="40"/>
      <c r="R57" s="40"/>
      <c r="S57" s="46"/>
      <c r="T57" s="30"/>
    </row>
    <row r="58" spans="2:20">
      <c r="B58" s="44">
        <v>0.6</v>
      </c>
      <c r="C58" s="45"/>
      <c r="D58" s="45"/>
      <c r="E58" s="45"/>
      <c r="F58" s="45"/>
      <c r="G58" s="45"/>
      <c r="H58" s="45"/>
      <c r="I58" s="261">
        <f t="shared" si="0"/>
        <v>0</v>
      </c>
      <c r="J58" s="282"/>
      <c r="K58" s="266"/>
      <c r="M58" s="227">
        <f t="shared" si="1"/>
        <v>0.6</v>
      </c>
      <c r="N58" s="40"/>
      <c r="O58" s="40"/>
      <c r="P58" s="40"/>
      <c r="Q58" s="40"/>
      <c r="R58" s="40"/>
      <c r="S58" s="46"/>
      <c r="T58" s="30"/>
    </row>
    <row r="59" spans="2:20">
      <c r="B59" s="44">
        <v>0.6</v>
      </c>
      <c r="C59" s="45"/>
      <c r="D59" s="45"/>
      <c r="E59" s="45"/>
      <c r="F59" s="45"/>
      <c r="G59" s="45"/>
      <c r="H59" s="45"/>
      <c r="I59" s="261">
        <f t="shared" si="0"/>
        <v>0</v>
      </c>
      <c r="J59" s="282"/>
      <c r="K59" s="266"/>
      <c r="M59" s="227">
        <f t="shared" si="1"/>
        <v>0.6</v>
      </c>
      <c r="N59" s="40"/>
      <c r="O59" s="40"/>
      <c r="P59" s="40"/>
      <c r="Q59" s="40"/>
      <c r="R59" s="40"/>
      <c r="S59" s="46"/>
      <c r="T59" s="30"/>
    </row>
    <row r="60" spans="2:20" ht="16.3" thickBot="1">
      <c r="B60" s="47" t="s">
        <v>91</v>
      </c>
      <c r="C60" s="48">
        <f>SUM(C45:C59)</f>
        <v>7</v>
      </c>
      <c r="D60" s="48">
        <f t="shared" ref="D60:I60" si="2">SUM(D45:D59)</f>
        <v>47</v>
      </c>
      <c r="E60" s="48">
        <f t="shared" si="2"/>
        <v>7</v>
      </c>
      <c r="F60" s="48">
        <f t="shared" si="2"/>
        <v>8</v>
      </c>
      <c r="G60" s="48">
        <f t="shared" si="2"/>
        <v>0</v>
      </c>
      <c r="H60" s="48">
        <f t="shared" si="2"/>
        <v>0</v>
      </c>
      <c r="I60" s="262">
        <f t="shared" si="2"/>
        <v>69</v>
      </c>
      <c r="J60" s="262"/>
      <c r="K60" s="216"/>
      <c r="M60" s="36"/>
      <c r="N60" s="228"/>
      <c r="O60" s="88"/>
      <c r="P60" s="88"/>
      <c r="Q60" s="88"/>
      <c r="R60" s="88"/>
      <c r="S60" s="53"/>
      <c r="T60" s="30"/>
    </row>
    <row r="61" spans="2:20">
      <c r="B61" s="47"/>
      <c r="C61" s="48"/>
      <c r="D61" s="48"/>
      <c r="E61" s="48"/>
      <c r="F61" s="48"/>
      <c r="G61" s="48"/>
      <c r="H61" s="48"/>
      <c r="I61" s="262"/>
      <c r="J61" s="262"/>
      <c r="K61" s="216"/>
    </row>
    <row r="62" spans="2:20">
      <c r="B62" s="47" t="s">
        <v>298</v>
      </c>
      <c r="C62" s="85">
        <f>IF(I60=0,0,SUMPRODUCT(B45:B59,I45:I59)/I60)</f>
        <v>0.41956521739130431</v>
      </c>
      <c r="D62" s="267"/>
      <c r="F62" s="48"/>
      <c r="G62" s="48"/>
      <c r="H62" s="48"/>
      <c r="I62" s="262"/>
      <c r="J62" s="262"/>
      <c r="K62" s="216"/>
    </row>
    <row r="63" spans="2:20" ht="31.75">
      <c r="B63" s="293" t="s">
        <v>299</v>
      </c>
      <c r="C63" s="85" cm="1">
        <f t="array" ref="C63">SUMPRODUCT(--(J45:J59=FALSE),I45:I59,B45:B59)/SUMIF(J45:J59,FALSE,I45:I59)</f>
        <v>0.52209302325581397</v>
      </c>
      <c r="D63" s="48"/>
      <c r="E63" s="48"/>
      <c r="F63" s="48"/>
      <c r="G63" s="48"/>
      <c r="H63" s="48"/>
      <c r="I63" s="262"/>
      <c r="J63" s="262"/>
      <c r="K63" s="216"/>
    </row>
    <row r="64" spans="2:20">
      <c r="B64" s="50" t="s">
        <v>81</v>
      </c>
      <c r="C64" s="45">
        <v>1</v>
      </c>
      <c r="D64" s="45"/>
      <c r="E64" s="45"/>
      <c r="F64" s="45"/>
      <c r="G64" s="45"/>
      <c r="H64" s="45"/>
      <c r="I64" s="261">
        <f>SUM(C64:H64)</f>
        <v>1</v>
      </c>
      <c r="J64" s="261"/>
      <c r="K64" s="215"/>
    </row>
    <row r="65" spans="2:15">
      <c r="B65" s="47" t="s">
        <v>83</v>
      </c>
      <c r="C65" s="48">
        <f>C60+C64</f>
        <v>8</v>
      </c>
      <c r="D65" s="48">
        <f t="shared" ref="D65:H65" si="3">D60+D64</f>
        <v>47</v>
      </c>
      <c r="E65" s="48">
        <f t="shared" si="3"/>
        <v>7</v>
      </c>
      <c r="F65" s="48">
        <f t="shared" si="3"/>
        <v>8</v>
      </c>
      <c r="G65" s="48">
        <f t="shared" si="3"/>
        <v>0</v>
      </c>
      <c r="H65" s="48">
        <f t="shared" si="3"/>
        <v>0</v>
      </c>
      <c r="I65" s="262">
        <f>I60+I64</f>
        <v>70</v>
      </c>
      <c r="J65" s="262"/>
      <c r="K65" s="216"/>
    </row>
    <row r="66" spans="2:15" ht="16.3" thickBot="1">
      <c r="B66" s="51"/>
      <c r="C66" s="52"/>
      <c r="D66" s="52"/>
      <c r="E66" s="52"/>
      <c r="F66" s="52"/>
      <c r="G66" s="52"/>
      <c r="H66" s="52"/>
      <c r="I66" s="52"/>
      <c r="J66" s="52"/>
      <c r="K66" s="86"/>
    </row>
    <row r="68" spans="2:15" ht="16.3" thickBot="1">
      <c r="B68" s="201" t="s">
        <v>185</v>
      </c>
      <c r="C68" s="202">
        <f>IFERROR(C70+C76+C91+C110,0)</f>
        <v>40118146</v>
      </c>
      <c r="D68" s="18"/>
      <c r="F68" s="201" t="s">
        <v>186</v>
      </c>
      <c r="G68" s="201"/>
      <c r="H68" s="202">
        <f>H87</f>
        <v>56642500</v>
      </c>
    </row>
    <row r="69" spans="2:15" ht="16.75" thickTop="1" thickBot="1">
      <c r="D69" s="203"/>
    </row>
    <row r="70" spans="2:15" ht="16.3" thickBot="1">
      <c r="B70" s="204" t="s">
        <v>0</v>
      </c>
      <c r="C70" s="205">
        <f>(C73-C74)*180</f>
        <v>13437396.000000002</v>
      </c>
      <c r="D70" s="206"/>
      <c r="F70" s="81" t="s">
        <v>127</v>
      </c>
      <c r="G70" s="108" t="s">
        <v>94</v>
      </c>
      <c r="H70" s="82">
        <f>SUM(H71:H75)</f>
        <v>173000000</v>
      </c>
    </row>
    <row r="71" spans="2:15" ht="16.75" thickTop="1" thickBot="1">
      <c r="F71" s="70" t="s">
        <v>229</v>
      </c>
      <c r="G71" s="106"/>
      <c r="H71" s="107">
        <f>IF(C31=4%,MAX(C35,C32*27.5%),0)</f>
        <v>0</v>
      </c>
    </row>
    <row r="72" spans="2:15" ht="16.3" thickBot="1">
      <c r="B72" s="78" t="s">
        <v>0</v>
      </c>
      <c r="C72" s="82"/>
      <c r="E72" s="194"/>
      <c r="F72" s="252" t="s">
        <v>292</v>
      </c>
      <c r="G72" s="37"/>
      <c r="H72" s="49">
        <f>IF(C31=9%,C39*10,0)</f>
        <v>60000000</v>
      </c>
    </row>
    <row r="73" spans="2:15" ht="16.3" thickTop="1">
      <c r="B73" s="69" t="s">
        <v>104</v>
      </c>
      <c r="C73" s="77">
        <f>'Tiebreaker Calculation'!C122*C60+'Tiebreaker Calculation'!D122*D60+'Tiebreaker Calculation'!E122*E60+'Tiebreaker Calculation'!F122*F60+'Tiebreaker Calculation'!G122*G60+'Tiebreaker Calculation'!H122*H60</f>
        <v>177265</v>
      </c>
      <c r="F73" s="252" t="s">
        <v>293</v>
      </c>
      <c r="G73" s="95"/>
      <c r="H73" s="94">
        <f>C40</f>
        <v>5000000</v>
      </c>
    </row>
    <row r="74" spans="2:15" ht="16.3" thickBot="1">
      <c r="B74" s="36" t="s">
        <v>105</v>
      </c>
      <c r="C74" s="53">
        <f>IF(C21,SUM(C168:H168),SUM(C149:H149))</f>
        <v>102612.79999999999</v>
      </c>
      <c r="F74" s="252" t="s">
        <v>295</v>
      </c>
      <c r="G74" s="95"/>
      <c r="H74" s="94">
        <f>C36+C37</f>
        <v>21500000</v>
      </c>
      <c r="I74" s="30"/>
      <c r="J74" s="30"/>
      <c r="K74" s="30"/>
    </row>
    <row r="75" spans="2:15">
      <c r="B75" s="1"/>
      <c r="F75" s="253" t="s">
        <v>296</v>
      </c>
      <c r="G75" s="291"/>
      <c r="H75" s="87">
        <f>SUM(H71:H74)</f>
        <v>86500000</v>
      </c>
    </row>
    <row r="76" spans="2:15" ht="16.3" thickBot="1">
      <c r="B76" s="204" t="s">
        <v>122</v>
      </c>
      <c r="C76" s="205">
        <f>C78+C86</f>
        <v>18165000</v>
      </c>
      <c r="D76" s="206"/>
      <c r="F76" s="35"/>
      <c r="G76" s="96"/>
      <c r="H76" s="49"/>
    </row>
    <row r="77" spans="2:15" ht="16.75" thickTop="1" thickBot="1">
      <c r="F77" s="35" t="str">
        <f>"Adj. "&amp;F71</f>
        <v>Adj. Tax Exempt Bond Request</v>
      </c>
      <c r="G77" s="101">
        <v>1</v>
      </c>
      <c r="H77" s="94">
        <f>G77*H71</f>
        <v>0</v>
      </c>
      <c r="O77" s="231"/>
    </row>
    <row r="78" spans="2:15" ht="16.3" thickBot="1">
      <c r="B78" s="78" t="s">
        <v>121</v>
      </c>
      <c r="C78" s="83">
        <f>SUMPRODUCT(C80:C84,D80:D84)*180</f>
        <v>7965000</v>
      </c>
      <c r="D78" s="84"/>
      <c r="F78" s="35" t="str">
        <f>"Adj. "&amp;F72</f>
        <v>Adj. 9% LIHTC Request</v>
      </c>
      <c r="G78" s="96">
        <v>0.85</v>
      </c>
      <c r="H78" s="94">
        <f>G78*H72</f>
        <v>51000000</v>
      </c>
    </row>
    <row r="79" spans="2:15" ht="16.3" thickTop="1">
      <c r="B79" s="69" t="s">
        <v>89</v>
      </c>
      <c r="C79" s="220" t="s">
        <v>189</v>
      </c>
      <c r="D79" s="221" t="s">
        <v>110</v>
      </c>
      <c r="F79" s="35" t="str">
        <f>"Adj. "&amp;F73</f>
        <v>Adj. State Tax Credit Request</v>
      </c>
      <c r="G79" s="96">
        <f>IF(OR(C31=9%,C13="Acq/ Rehab"),100%,100%)</f>
        <v>1</v>
      </c>
      <c r="H79" s="94">
        <f>G79*H73</f>
        <v>5000000</v>
      </c>
    </row>
    <row r="80" spans="2:15">
      <c r="B80" s="34" t="s">
        <v>85</v>
      </c>
      <c r="C80" s="37">
        <f>SUMIFS(I134:I148,B134:B148,"&lt;=30%")</f>
        <v>31</v>
      </c>
      <c r="D80" s="100">
        <v>1250</v>
      </c>
      <c r="E80" s="30"/>
      <c r="F80" s="35" t="str">
        <f>"Adj. "&amp;F74</f>
        <v>Adj. HDFC Resources Request</v>
      </c>
      <c r="G80" s="101">
        <v>1</v>
      </c>
      <c r="H80" s="94">
        <f>G80*(C36+MAX(0,C37-6000000))</f>
        <v>15500000</v>
      </c>
    </row>
    <row r="81" spans="2:8">
      <c r="B81" s="34" t="s">
        <v>86</v>
      </c>
      <c r="C81" s="37">
        <f>SUMIFS(I134:I148,B134:B148,"&gt;30%",B134:B148,"&lt;=35%")</f>
        <v>0</v>
      </c>
      <c r="D81" s="100">
        <v>1000</v>
      </c>
      <c r="E81" s="30"/>
      <c r="F81" s="253" t="s">
        <v>129</v>
      </c>
      <c r="G81" s="101"/>
      <c r="H81" s="87">
        <f>SUM(H77:H80)</f>
        <v>71500000</v>
      </c>
    </row>
    <row r="82" spans="2:8">
      <c r="B82" s="34" t="s">
        <v>87</v>
      </c>
      <c r="C82" s="37">
        <f>SUMIFS(I134:I148,B134:B148,"&gt;35%",B134:B148,"&lt;=40%")</f>
        <v>0</v>
      </c>
      <c r="D82" s="100">
        <v>750</v>
      </c>
      <c r="E82" s="30"/>
      <c r="F82" s="35"/>
      <c r="G82" s="96"/>
      <c r="H82" s="49"/>
    </row>
    <row r="83" spans="2:8">
      <c r="B83" s="34" t="s">
        <v>119</v>
      </c>
      <c r="C83" s="37">
        <f>SUMIFS(I134:I148,B134:B148,"&gt;40%",B134:B148,"&lt;=45%")</f>
        <v>7</v>
      </c>
      <c r="D83" s="100">
        <v>500</v>
      </c>
      <c r="E83" s="30"/>
      <c r="F83" s="34" t="s">
        <v>114</v>
      </c>
      <c r="G83" s="97">
        <f>IF(C22,15%,0)</f>
        <v>0.15</v>
      </c>
      <c r="H83" s="49">
        <f>G83*$H$81</f>
        <v>10725000</v>
      </c>
    </row>
    <row r="84" spans="2:8" ht="16.3" thickBot="1">
      <c r="B84" s="36" t="s">
        <v>88</v>
      </c>
      <c r="C84" s="39">
        <f>SUMIFS(I134:I148,B134:B148,"&gt;45%",B134:B148,"&lt;=50%")</f>
        <v>8</v>
      </c>
      <c r="D84" s="208">
        <v>250</v>
      </c>
      <c r="E84" s="30"/>
      <c r="F84" s="34" t="s">
        <v>109</v>
      </c>
      <c r="G84" s="97">
        <f>IF(C23,3%,0)</f>
        <v>0</v>
      </c>
      <c r="H84" s="49">
        <f>G84*$H$81</f>
        <v>0</v>
      </c>
    </row>
    <row r="85" spans="2:8" ht="16.3" thickBot="1">
      <c r="F85" s="34" t="s">
        <v>116</v>
      </c>
      <c r="G85" s="97">
        <f>VLOOKUP(C12,B178:H235,7,FALSE)*25%</f>
        <v>5.4999999999999993E-2</v>
      </c>
      <c r="H85" s="49">
        <f>G85*$H$81</f>
        <v>3932499.9999999995</v>
      </c>
    </row>
    <row r="86" spans="2:8" ht="16.3" thickBot="1">
      <c r="B86" s="78" t="s">
        <v>120</v>
      </c>
      <c r="C86" s="109">
        <f>C88*D88+C89*D89</f>
        <v>10200000</v>
      </c>
      <c r="D86" s="82"/>
      <c r="F86" s="34" t="s">
        <v>115</v>
      </c>
      <c r="G86" s="97">
        <f>IFERROR(MIN(C28/H81,15%),0)</f>
        <v>2.7972027972027972E-3</v>
      </c>
      <c r="H86" s="49">
        <f>G86*$H$81</f>
        <v>200000</v>
      </c>
    </row>
    <row r="87" spans="2:8" ht="16.75" thickTop="1" thickBot="1">
      <c r="B87" s="110" t="s">
        <v>89</v>
      </c>
      <c r="C87" s="270" t="s">
        <v>188</v>
      </c>
      <c r="D87" s="219" t="s">
        <v>110</v>
      </c>
      <c r="F87" s="209" t="s">
        <v>128</v>
      </c>
      <c r="G87" s="210">
        <f>1-SUM(G83:G86)</f>
        <v>0.79220279720279718</v>
      </c>
      <c r="H87" s="211">
        <f>H81-SUM(H83:H86)</f>
        <v>56642500</v>
      </c>
    </row>
    <row r="88" spans="2:8">
      <c r="B88" s="271" t="s">
        <v>248</v>
      </c>
      <c r="C88" s="287">
        <f>MIN(SUMIF(K45:K59,"Farmworker",I45:I59),ROUNDDOWN(I60*50%,0)-C89)</f>
        <v>0</v>
      </c>
      <c r="D88" s="272">
        <v>50000</v>
      </c>
    </row>
    <row r="89" spans="2:8" ht="16.3" thickBot="1">
      <c r="B89" s="273" t="s">
        <v>291</v>
      </c>
      <c r="C89" s="288">
        <f>ROUNDDOWN(MIN(50%*I60,SUMIF(K45:K59,"Supportive Housing",I45:I59)+SUMIF(K45:K59,"Special Needs",I45:I59)),0)</f>
        <v>34</v>
      </c>
      <c r="D89" s="289">
        <f>IF((SUMIF(K45:K59,"Supportive Housing",I45:I59)+SUMIF(K45:K59,"Special Needs",I45:I59))&lt;(25%*I60),100000,300000)</f>
        <v>300000</v>
      </c>
    </row>
    <row r="91" spans="2:8" ht="16.3" thickBot="1">
      <c r="B91" s="204" t="s">
        <v>123</v>
      </c>
      <c r="C91" s="205">
        <f>MAX(C93,C98,C102,C106)</f>
        <v>4443000</v>
      </c>
      <c r="D91" s="206"/>
    </row>
    <row r="92" spans="2:8" ht="16.75" thickTop="1" thickBot="1"/>
    <row r="93" spans="2:8" ht="16.3" thickBot="1">
      <c r="B93" s="78" t="s">
        <v>90</v>
      </c>
      <c r="C93" s="83">
        <f>MAX(C95*D95,C96*D96)</f>
        <v>4443000</v>
      </c>
      <c r="D93" s="84"/>
    </row>
    <row r="94" spans="2:8" ht="16.3" thickTop="1">
      <c r="B94" s="67" t="s">
        <v>101</v>
      </c>
      <c r="C94" s="217" t="s">
        <v>124</v>
      </c>
      <c r="D94" s="218" t="s">
        <v>110</v>
      </c>
    </row>
    <row r="95" spans="2:8">
      <c r="B95" s="34" t="s">
        <v>102</v>
      </c>
      <c r="C95" s="233">
        <f>H130</f>
        <v>74.05</v>
      </c>
      <c r="D95" s="286">
        <f>IF(OR(C13="Large Family",C13="High Density Housing",C13="Supportive Housing",C13="Special Needs Housing"),IF(C17="Moderate",10000,IF(C17="High",60000,IF(C17="Highest",90000,0))),0)</f>
        <v>60000</v>
      </c>
    </row>
    <row r="96" spans="2:8" ht="16.3" thickBot="1">
      <c r="B96" s="38" t="s">
        <v>117</v>
      </c>
      <c r="C96" s="234">
        <f>H130</f>
        <v>74.05</v>
      </c>
      <c r="D96" s="53">
        <f>IF(C18,30000,0)</f>
        <v>0</v>
      </c>
    </row>
    <row r="97" spans="2:19" ht="16.3" thickBot="1"/>
    <row r="98" spans="2:19" ht="16.3" thickBot="1">
      <c r="B98" s="78" t="s">
        <v>113</v>
      </c>
      <c r="C98" s="83">
        <f>C100*D100</f>
        <v>1481000</v>
      </c>
      <c r="D98" s="84"/>
    </row>
    <row r="99" spans="2:19" ht="16.3" thickTop="1">
      <c r="B99" s="67" t="s">
        <v>101</v>
      </c>
      <c r="C99" s="217" t="s">
        <v>124</v>
      </c>
      <c r="D99" s="218" t="s">
        <v>110</v>
      </c>
    </row>
    <row r="100" spans="2:19" ht="16.3" thickBot="1">
      <c r="B100" s="36" t="s">
        <v>125</v>
      </c>
      <c r="C100" s="234">
        <f>H130</f>
        <v>74.05</v>
      </c>
      <c r="D100" s="53">
        <f>IF(C19,20000,0)</f>
        <v>20000</v>
      </c>
      <c r="E100" s="193"/>
    </row>
    <row r="101" spans="2:19" ht="16.3" thickBot="1"/>
    <row r="102" spans="2:19" ht="16.3" thickBot="1">
      <c r="B102" s="78" t="s">
        <v>103</v>
      </c>
      <c r="C102" s="83">
        <f>C104*D104</f>
        <v>0</v>
      </c>
      <c r="D102" s="84"/>
    </row>
    <row r="103" spans="2:19" ht="16.3" thickTop="1">
      <c r="B103" s="67" t="s">
        <v>101</v>
      </c>
      <c r="C103" s="217" t="s">
        <v>124</v>
      </c>
      <c r="D103" s="218" t="s">
        <v>110</v>
      </c>
    </row>
    <row r="104" spans="2:19" ht="16.3" thickBot="1">
      <c r="B104" s="36" t="s">
        <v>103</v>
      </c>
      <c r="C104" s="234">
        <f>H130</f>
        <v>74.05</v>
      </c>
      <c r="D104" s="53">
        <f>IF(C15,20000,0)</f>
        <v>0</v>
      </c>
      <c r="E104" s="193"/>
    </row>
    <row r="105" spans="2:19" ht="16.3" thickBot="1">
      <c r="I105" s="30"/>
      <c r="J105" s="30"/>
      <c r="K105" s="30"/>
      <c r="M105" s="32"/>
      <c r="N105" s="30"/>
      <c r="O105" s="30"/>
      <c r="P105" s="30"/>
      <c r="Q105" s="30"/>
      <c r="R105" s="30"/>
      <c r="S105" s="30"/>
    </row>
    <row r="106" spans="2:19" ht="16.3" thickBot="1">
      <c r="B106" s="78" t="s">
        <v>249</v>
      </c>
      <c r="C106" s="83">
        <f>C108*D108</f>
        <v>0</v>
      </c>
      <c r="D106" s="84"/>
    </row>
    <row r="107" spans="2:19" ht="16.3" thickTop="1">
      <c r="B107" s="67" t="s">
        <v>101</v>
      </c>
      <c r="C107" s="217" t="s">
        <v>124</v>
      </c>
      <c r="D107" s="218" t="s">
        <v>110</v>
      </c>
    </row>
    <row r="108" spans="2:19" ht="16.3" thickBot="1">
      <c r="B108" s="36" t="s">
        <v>249</v>
      </c>
      <c r="C108" s="234">
        <f>H130</f>
        <v>74.05</v>
      </c>
      <c r="D108" s="290">
        <f>IF(C14,20000,0)</f>
        <v>0</v>
      </c>
      <c r="E108" s="193"/>
    </row>
    <row r="109" spans="2:19">
      <c r="I109" s="30"/>
      <c r="J109" s="30"/>
      <c r="K109" s="30"/>
      <c r="M109" s="32"/>
      <c r="N109" s="30"/>
      <c r="O109" s="30"/>
      <c r="P109" s="30"/>
      <c r="Q109" s="30"/>
      <c r="R109" s="30"/>
      <c r="S109" s="30"/>
    </row>
    <row r="110" spans="2:19" ht="16.3" thickBot="1">
      <c r="B110" s="204" t="s">
        <v>126</v>
      </c>
      <c r="C110" s="205">
        <f>C112</f>
        <v>4072750</v>
      </c>
      <c r="D110" s="206"/>
      <c r="I110" s="30"/>
      <c r="J110" s="30"/>
      <c r="K110" s="30"/>
      <c r="M110" s="32"/>
      <c r="N110" s="30"/>
      <c r="O110" s="30"/>
      <c r="P110" s="30"/>
      <c r="Q110" s="30"/>
      <c r="R110" s="30"/>
      <c r="S110" s="30"/>
    </row>
    <row r="111" spans="2:19" ht="16.75" thickTop="1" thickBot="1">
      <c r="I111" s="30"/>
      <c r="J111" s="30"/>
      <c r="K111" s="30"/>
      <c r="M111" s="32"/>
      <c r="N111" s="30"/>
      <c r="O111" s="30"/>
      <c r="P111" s="30"/>
      <c r="Q111" s="30"/>
      <c r="R111" s="30"/>
      <c r="S111" s="30"/>
    </row>
    <row r="112" spans="2:19" ht="16.3" thickBot="1">
      <c r="B112" s="78" t="s">
        <v>126</v>
      </c>
      <c r="C112" s="83">
        <f>C114*D114</f>
        <v>4072750</v>
      </c>
      <c r="D112" s="84"/>
      <c r="I112" s="30"/>
      <c r="J112" s="30"/>
      <c r="K112" s="30"/>
      <c r="M112" s="32"/>
      <c r="N112" s="30"/>
      <c r="O112" s="30"/>
      <c r="P112" s="30"/>
      <c r="Q112" s="30"/>
      <c r="R112" s="30"/>
      <c r="S112" s="30"/>
    </row>
    <row r="113" spans="1:19" ht="16.3" thickTop="1">
      <c r="B113" s="67" t="s">
        <v>101</v>
      </c>
      <c r="C113" s="217" t="s">
        <v>124</v>
      </c>
      <c r="D113" s="218" t="s">
        <v>110</v>
      </c>
      <c r="I113" s="30"/>
      <c r="J113" s="30"/>
      <c r="K113" s="30"/>
      <c r="M113" s="32"/>
      <c r="N113" s="31"/>
      <c r="O113" s="31"/>
      <c r="P113" s="31"/>
      <c r="Q113" s="31"/>
      <c r="R113" s="31"/>
      <c r="S113" s="31"/>
    </row>
    <row r="114" spans="1:19" ht="16.3" thickBot="1">
      <c r="B114" s="36" t="s">
        <v>126</v>
      </c>
      <c r="C114" s="256">
        <f>H130</f>
        <v>74.05</v>
      </c>
      <c r="D114" s="53">
        <f>IFERROR(IF(C25,VLOOKUP(C26,B267:C272,2,FALSE),0),0)</f>
        <v>55000</v>
      </c>
      <c r="E114" s="193"/>
      <c r="I114" s="30"/>
      <c r="J114" s="30"/>
      <c r="K114" s="30"/>
      <c r="M114" s="32"/>
      <c r="N114" s="31"/>
      <c r="O114" s="31"/>
      <c r="P114" s="31"/>
      <c r="Q114" s="31"/>
      <c r="R114" s="31"/>
      <c r="S114" s="31"/>
    </row>
    <row r="115" spans="1:19">
      <c r="I115" s="30"/>
      <c r="J115" s="30"/>
      <c r="K115" s="30"/>
      <c r="M115" s="32"/>
      <c r="N115" s="31"/>
      <c r="O115" s="31"/>
      <c r="P115" s="31"/>
      <c r="Q115" s="31"/>
      <c r="R115" s="31"/>
      <c r="S115" s="31"/>
    </row>
    <row r="116" spans="1:19">
      <c r="I116" s="30"/>
      <c r="J116" s="30"/>
      <c r="K116" s="30"/>
      <c r="M116" s="32"/>
      <c r="N116" s="31"/>
      <c r="O116" s="31"/>
      <c r="P116" s="31"/>
      <c r="Q116" s="31"/>
      <c r="R116" s="31"/>
      <c r="S116" s="31"/>
    </row>
    <row r="117" spans="1:19" s="238" customFormat="1" ht="16.3" thickBot="1">
      <c r="A117" s="242" t="s">
        <v>222</v>
      </c>
      <c r="I117" s="239"/>
      <c r="J117" s="239"/>
      <c r="K117" s="239"/>
      <c r="M117" s="240"/>
      <c r="N117" s="241"/>
      <c r="O117" s="241"/>
      <c r="P117" s="241"/>
      <c r="Q117" s="241"/>
      <c r="R117" s="241"/>
      <c r="S117" s="241"/>
    </row>
    <row r="118" spans="1:19">
      <c r="I118" s="30"/>
      <c r="J118" s="30"/>
      <c r="K118" s="30"/>
      <c r="M118" s="32"/>
      <c r="N118" s="31"/>
      <c r="O118" s="31"/>
      <c r="P118" s="31"/>
      <c r="Q118" s="31"/>
      <c r="R118" s="31"/>
      <c r="S118" s="31"/>
    </row>
    <row r="119" spans="1:19" ht="16.3" thickBot="1">
      <c r="I119" s="30"/>
      <c r="J119" s="30"/>
      <c r="K119" s="30"/>
      <c r="M119" s="32"/>
      <c r="N119" s="31"/>
      <c r="O119" s="31"/>
      <c r="P119" s="31"/>
      <c r="Q119" s="31"/>
      <c r="R119" s="31"/>
      <c r="S119" s="31"/>
    </row>
    <row r="120" spans="1:19">
      <c r="B120" s="64" t="s">
        <v>112</v>
      </c>
      <c r="C120" s="65" t="s">
        <v>8</v>
      </c>
      <c r="D120" s="65" t="s">
        <v>9</v>
      </c>
      <c r="E120" s="65" t="s">
        <v>10</v>
      </c>
      <c r="F120" s="65" t="s">
        <v>11</v>
      </c>
      <c r="G120" s="65" t="s">
        <v>12</v>
      </c>
      <c r="H120" s="66" t="s">
        <v>76</v>
      </c>
    </row>
    <row r="121" spans="1:19">
      <c r="B121" s="56" t="s">
        <v>77</v>
      </c>
      <c r="C121" s="60">
        <f>VLOOKUP('Tiebreaker Calculation'!$C$12,'Tiebreaker Calculation'!$B$177:$G$235,2,FALSE)</f>
        <v>491221</v>
      </c>
      <c r="D121" s="60">
        <f>VLOOKUP('Tiebreaker Calculation'!$C$12,'Tiebreaker Calculation'!$B$177:$G$235,3,FALSE)</f>
        <v>566373</v>
      </c>
      <c r="E121" s="60">
        <f>VLOOKUP('Tiebreaker Calculation'!$C$12,'Tiebreaker Calculation'!$B$177:$G$235,4,FALSE)</f>
        <v>683200</v>
      </c>
      <c r="F121" s="60">
        <f>VLOOKUP('Tiebreaker Calculation'!$C$12,'Tiebreaker Calculation'!$B$177:$G$235,5,FALSE)</f>
        <v>874496</v>
      </c>
      <c r="G121" s="60">
        <f>VLOOKUP('Tiebreaker Calculation'!$C$12,'Tiebreaker Calculation'!$B$177:$G$235,6,FALSE)</f>
        <v>974243</v>
      </c>
      <c r="H121" s="61">
        <f>G121</f>
        <v>974243</v>
      </c>
    </row>
    <row r="122" spans="1:19">
      <c r="B122" s="56" t="s">
        <v>78</v>
      </c>
      <c r="C122" s="223">
        <f>VLOOKUP('Tiebreaker Calculation'!$C$12,'Tiebreaker Calculation'!$L$177:$Q$235,2,FALSE)</f>
        <v>2142</v>
      </c>
      <c r="D122" s="223">
        <f>VLOOKUP('Tiebreaker Calculation'!$C$12,'Tiebreaker Calculation'!$L$177:$Q$235,3,FALSE)</f>
        <v>2385</v>
      </c>
      <c r="E122" s="223">
        <f>VLOOKUP('Tiebreaker Calculation'!$C$12,'Tiebreaker Calculation'!$L$177:$Q$235,4,FALSE)</f>
        <v>2912</v>
      </c>
      <c r="F122" s="223">
        <f>VLOOKUP('Tiebreaker Calculation'!$C$12,'Tiebreaker Calculation'!$L$177:$Q$235,5,FALSE)</f>
        <v>3724</v>
      </c>
      <c r="G122" s="60">
        <f>VLOOKUP('Tiebreaker Calculation'!$C$12,'Tiebreaker Calculation'!$L$177:$Q$235,6,FALSE)</f>
        <v>4413</v>
      </c>
      <c r="H122" s="61">
        <f>1.15*G122</f>
        <v>5074.95</v>
      </c>
    </row>
    <row r="123" spans="1:19">
      <c r="B123" s="56" t="s">
        <v>79</v>
      </c>
      <c r="C123" s="60">
        <f>VLOOKUP('Tiebreaker Calculation'!$C$12,'Tiebreaker Calculation'!$S$177:$Y$235,2,FALSE)</f>
        <v>2970</v>
      </c>
      <c r="D123" s="60">
        <f>VLOOKUP('Tiebreaker Calculation'!$C$12,'Tiebreaker Calculation'!$S$177:$Y$235,3,FALSE)</f>
        <v>3182</v>
      </c>
      <c r="E123" s="60">
        <f>VLOOKUP('Tiebreaker Calculation'!$C$12,'Tiebreaker Calculation'!$S$177:$Y$235,4,FALSE)</f>
        <v>3820</v>
      </c>
      <c r="F123" s="60">
        <f>VLOOKUP('Tiebreaker Calculation'!$C$12,'Tiebreaker Calculation'!$S$177:$Y$235,5,FALSE)</f>
        <v>4412</v>
      </c>
      <c r="G123" s="60">
        <f>VLOOKUP('Tiebreaker Calculation'!$C$12,'Tiebreaker Calculation'!$S$177:$Y$235,6,FALSE)</f>
        <v>4922</v>
      </c>
      <c r="H123" s="61">
        <f>VLOOKUP('Tiebreaker Calculation'!$C$12,'Tiebreaker Calculation'!$S$177:$Y$235,7,FALSE)</f>
        <v>5432</v>
      </c>
    </row>
    <row r="124" spans="1:19" ht="16.3" thickBot="1">
      <c r="B124" s="58"/>
      <c r="C124" s="28"/>
      <c r="D124" s="28"/>
      <c r="E124" s="28"/>
      <c r="F124" s="28"/>
      <c r="G124" s="28"/>
      <c r="H124" s="29"/>
    </row>
    <row r="125" spans="1:19" ht="16.3" thickBot="1"/>
    <row r="126" spans="1:19">
      <c r="B126" s="64" t="s">
        <v>106</v>
      </c>
      <c r="C126" s="65" t="s">
        <v>8</v>
      </c>
      <c r="D126" s="65" t="s">
        <v>9</v>
      </c>
      <c r="E126" s="65" t="s">
        <v>10</v>
      </c>
      <c r="F126" s="65" t="s">
        <v>11</v>
      </c>
      <c r="G126" s="65" t="s">
        <v>96</v>
      </c>
      <c r="H126" s="66" t="s">
        <v>82</v>
      </c>
    </row>
    <row r="127" spans="1:19">
      <c r="B127" s="56" t="s">
        <v>92</v>
      </c>
      <c r="C127" s="274">
        <f>'Tiebreaker Calculation'!C60</f>
        <v>7</v>
      </c>
      <c r="D127" s="274">
        <f>'Tiebreaker Calculation'!D60</f>
        <v>47</v>
      </c>
      <c r="E127" s="274">
        <f>'Tiebreaker Calculation'!E60</f>
        <v>7</v>
      </c>
      <c r="F127" s="274">
        <f>'Tiebreaker Calculation'!F60</f>
        <v>8</v>
      </c>
      <c r="G127" s="274">
        <f>'Tiebreaker Calculation'!G60+'Tiebreaker Calculation'!H60</f>
        <v>0</v>
      </c>
      <c r="H127" s="275">
        <f>SUM(C127:G127)</f>
        <v>69</v>
      </c>
    </row>
    <row r="128" spans="1:19">
      <c r="B128" s="56" t="s">
        <v>93</v>
      </c>
      <c r="C128" s="274">
        <f>C127</f>
        <v>7</v>
      </c>
      <c r="D128" s="274">
        <f>D127</f>
        <v>47</v>
      </c>
      <c r="E128" s="274">
        <f>E127+F127+G127-G128-F128</f>
        <v>7</v>
      </c>
      <c r="F128" s="274">
        <f>MIN(F127,ROUNDDOWN(30%*'Tiebreaker Calculation'!$I$60,0))</f>
        <v>8</v>
      </c>
      <c r="G128" s="274">
        <f>MIN(G127,ROUNDDOWN(10%*'Tiebreaker Calculation'!$I$60,0))</f>
        <v>0</v>
      </c>
      <c r="H128" s="275">
        <f>SUM(C128:G128)</f>
        <v>69</v>
      </c>
    </row>
    <row r="129" spans="2:22">
      <c r="B129" s="56" t="s">
        <v>94</v>
      </c>
      <c r="C129" s="274">
        <v>0.9</v>
      </c>
      <c r="D129" s="274">
        <v>1</v>
      </c>
      <c r="E129" s="274">
        <v>1.25</v>
      </c>
      <c r="F129" s="274">
        <v>1.5</v>
      </c>
      <c r="G129" s="274">
        <v>1.75</v>
      </c>
      <c r="H129" s="275">
        <f>SUM(C129:G129)</f>
        <v>6.4</v>
      </c>
    </row>
    <row r="130" spans="2:22">
      <c r="B130" s="56" t="s">
        <v>95</v>
      </c>
      <c r="C130" s="274">
        <f>C128*C129</f>
        <v>6.3</v>
      </c>
      <c r="D130" s="274">
        <f>D128*D129</f>
        <v>47</v>
      </c>
      <c r="E130" s="274">
        <f>E128*E129</f>
        <v>8.75</v>
      </c>
      <c r="F130" s="274">
        <f>F128*F129</f>
        <v>12</v>
      </c>
      <c r="G130" s="274">
        <f>G128*G129</f>
        <v>0</v>
      </c>
      <c r="H130" s="275">
        <f>SUM(C130:G130)</f>
        <v>74.05</v>
      </c>
      <c r="R130" s="30"/>
    </row>
    <row r="131" spans="2:22" ht="16.3" thickBot="1">
      <c r="B131" s="58"/>
      <c r="C131" s="28"/>
      <c r="D131" s="28"/>
      <c r="E131" s="28"/>
      <c r="F131" s="28"/>
      <c r="G131" s="28"/>
      <c r="H131" s="29"/>
    </row>
    <row r="132" spans="2:22" ht="16.3" thickBot="1"/>
    <row r="133" spans="2:22">
      <c r="B133" s="64" t="s">
        <v>84</v>
      </c>
      <c r="C133" s="59" t="s">
        <v>8</v>
      </c>
      <c r="D133" s="59" t="s">
        <v>9</v>
      </c>
      <c r="E133" s="59" t="s">
        <v>10</v>
      </c>
      <c r="F133" s="59" t="s">
        <v>11</v>
      </c>
      <c r="G133" s="59" t="s">
        <v>12</v>
      </c>
      <c r="H133" s="59" t="s">
        <v>76</v>
      </c>
      <c r="I133" s="54" t="s">
        <v>243</v>
      </c>
    </row>
    <row r="134" spans="2:22">
      <c r="B134" s="57">
        <f t="shared" ref="B134:B148" si="4">IF(J45,MAX(B45,30%),IF($C$63&lt;40%,40%,B45))</f>
        <v>0.3</v>
      </c>
      <c r="C134" s="60">
        <f>MIN($B134*'Tiebreaker Calculation'!C$123,C$122)*'Tiebreaker Calculation'!C45</f>
        <v>4455</v>
      </c>
      <c r="D134" s="60">
        <f>MIN($B134*'Tiebreaker Calculation'!D$123,D$122)*'Tiebreaker Calculation'!D45</f>
        <v>0</v>
      </c>
      <c r="E134" s="60">
        <f>MIN($B134*'Tiebreaker Calculation'!E$123,E$122)*'Tiebreaker Calculation'!E45</f>
        <v>0</v>
      </c>
      <c r="F134" s="60">
        <f>MIN($B134*'Tiebreaker Calculation'!F$123,F$122)*'Tiebreaker Calculation'!F45</f>
        <v>0</v>
      </c>
      <c r="G134" s="60">
        <f>MIN($B134*'Tiebreaker Calculation'!G$123,G$122)*'Tiebreaker Calculation'!G45</f>
        <v>0</v>
      </c>
      <c r="H134" s="60">
        <f>MIN($B134*'Tiebreaker Calculation'!H$123,H$122)*'Tiebreaker Calculation'!H45</f>
        <v>0</v>
      </c>
      <c r="I134" s="269">
        <f t="shared" ref="I134:I148" si="5">I45</f>
        <v>5</v>
      </c>
      <c r="L134" s="31"/>
      <c r="M134" s="31"/>
      <c r="N134" s="31"/>
      <c r="O134" s="31"/>
      <c r="P134" s="31"/>
      <c r="R134" s="30"/>
      <c r="S134" s="30"/>
      <c r="T134" s="30"/>
      <c r="U134" s="30"/>
      <c r="V134" s="30"/>
    </row>
    <row r="135" spans="2:22">
      <c r="B135" s="57">
        <f t="shared" si="4"/>
        <v>0.3</v>
      </c>
      <c r="C135" s="60">
        <f>MIN($B135*'Tiebreaker Calculation'!C$123,C$122)*'Tiebreaker Calculation'!C46</f>
        <v>0</v>
      </c>
      <c r="D135" s="60">
        <f>MIN($B135*'Tiebreaker Calculation'!D$123,D$122)*'Tiebreaker Calculation'!D46</f>
        <v>24819.599999999999</v>
      </c>
      <c r="E135" s="60">
        <f>MIN($B135*'Tiebreaker Calculation'!E$123,E$122)*'Tiebreaker Calculation'!E46</f>
        <v>0</v>
      </c>
      <c r="F135" s="60">
        <f>MIN($B135*'Tiebreaker Calculation'!F$123,F$122)*'Tiebreaker Calculation'!F46</f>
        <v>0</v>
      </c>
      <c r="G135" s="60">
        <f>MIN($B135*'Tiebreaker Calculation'!G$123,G$122)*'Tiebreaker Calculation'!G46</f>
        <v>0</v>
      </c>
      <c r="H135" s="60">
        <f>MIN($B135*'Tiebreaker Calculation'!H$123,H$122)*'Tiebreaker Calculation'!H46</f>
        <v>0</v>
      </c>
      <c r="I135" s="269">
        <f t="shared" si="5"/>
        <v>26</v>
      </c>
      <c r="L135" s="31"/>
      <c r="M135" s="31"/>
      <c r="N135" s="31"/>
      <c r="O135" s="31"/>
      <c r="P135" s="31"/>
      <c r="R135" s="30"/>
      <c r="S135" s="30"/>
      <c r="T135" s="30"/>
      <c r="U135" s="30"/>
      <c r="V135" s="30"/>
    </row>
    <row r="136" spans="2:22">
      <c r="B136" s="57">
        <f t="shared" si="4"/>
        <v>0.45</v>
      </c>
      <c r="C136" s="60">
        <f>MIN($B136*'Tiebreaker Calculation'!C$123,C$122)*'Tiebreaker Calculation'!C47</f>
        <v>0</v>
      </c>
      <c r="D136" s="60">
        <f>MIN($B136*'Tiebreaker Calculation'!D$123,D$122)*'Tiebreaker Calculation'!D47</f>
        <v>0</v>
      </c>
      <c r="E136" s="60">
        <f>MIN($B136*'Tiebreaker Calculation'!E$123,E$122)*'Tiebreaker Calculation'!E47</f>
        <v>12033</v>
      </c>
      <c r="F136" s="60">
        <f>MIN($B136*'Tiebreaker Calculation'!F$123,F$122)*'Tiebreaker Calculation'!F47</f>
        <v>0</v>
      </c>
      <c r="G136" s="60">
        <f>MIN($B136*'Tiebreaker Calculation'!G$123,G$122)*'Tiebreaker Calculation'!G47</f>
        <v>0</v>
      </c>
      <c r="H136" s="60">
        <f>MIN($B136*'Tiebreaker Calculation'!H$123,H$122)*'Tiebreaker Calculation'!H47</f>
        <v>0</v>
      </c>
      <c r="I136" s="269">
        <f t="shared" si="5"/>
        <v>7</v>
      </c>
      <c r="L136" s="31"/>
      <c r="M136" s="31"/>
      <c r="N136" s="31"/>
      <c r="O136" s="31"/>
      <c r="P136" s="31"/>
      <c r="R136" s="30"/>
      <c r="S136" s="30"/>
      <c r="T136" s="30"/>
      <c r="U136" s="30"/>
      <c r="V136" s="30"/>
    </row>
    <row r="137" spans="2:22">
      <c r="B137" s="57">
        <f t="shared" si="4"/>
        <v>0.5</v>
      </c>
      <c r="C137" s="60">
        <f>MIN($B137*'Tiebreaker Calculation'!C$123,C$122)*'Tiebreaker Calculation'!C48</f>
        <v>0</v>
      </c>
      <c r="D137" s="60">
        <f>MIN($B137*'Tiebreaker Calculation'!D$123,D$122)*'Tiebreaker Calculation'!D48</f>
        <v>0</v>
      </c>
      <c r="E137" s="60">
        <f>MIN($B137*'Tiebreaker Calculation'!E$123,E$122)*'Tiebreaker Calculation'!E48</f>
        <v>0</v>
      </c>
      <c r="F137" s="60">
        <f>MIN($B137*'Tiebreaker Calculation'!F$123,F$122)*'Tiebreaker Calculation'!F48</f>
        <v>17648</v>
      </c>
      <c r="G137" s="60">
        <f>MIN($B137*'Tiebreaker Calculation'!G$123,G$122)*'Tiebreaker Calculation'!G48</f>
        <v>0</v>
      </c>
      <c r="H137" s="60">
        <f>MIN($B137*'Tiebreaker Calculation'!H$123,H$122)*'Tiebreaker Calculation'!H48</f>
        <v>0</v>
      </c>
      <c r="I137" s="269">
        <f t="shared" si="5"/>
        <v>8</v>
      </c>
      <c r="L137" s="31"/>
      <c r="M137" s="31"/>
      <c r="N137" s="31"/>
      <c r="O137" s="31"/>
      <c r="P137" s="31"/>
      <c r="R137" s="30"/>
      <c r="S137" s="30"/>
      <c r="T137" s="30"/>
      <c r="U137" s="30"/>
      <c r="V137" s="30"/>
    </row>
    <row r="138" spans="2:22">
      <c r="B138" s="57">
        <f t="shared" si="4"/>
        <v>0.6</v>
      </c>
      <c r="C138" s="60">
        <f>MIN($B138*'Tiebreaker Calculation'!C$123,C$122)*'Tiebreaker Calculation'!C49</f>
        <v>3564</v>
      </c>
      <c r="D138" s="60">
        <f>MIN($B138*'Tiebreaker Calculation'!D$123,D$122)*'Tiebreaker Calculation'!D49</f>
        <v>40093.199999999997</v>
      </c>
      <c r="E138" s="60">
        <f>MIN($B138*'Tiebreaker Calculation'!E$123,E$122)*'Tiebreaker Calculation'!E49</f>
        <v>0</v>
      </c>
      <c r="F138" s="60">
        <f>MIN($B138*'Tiebreaker Calculation'!F$123,F$122)*'Tiebreaker Calculation'!F49</f>
        <v>0</v>
      </c>
      <c r="G138" s="60">
        <f>MIN($B138*'Tiebreaker Calculation'!G$123,G$122)*'Tiebreaker Calculation'!G49</f>
        <v>0</v>
      </c>
      <c r="H138" s="60">
        <f>MIN($B138*'Tiebreaker Calculation'!H$123,H$122)*'Tiebreaker Calculation'!H49</f>
        <v>0</v>
      </c>
      <c r="I138" s="269">
        <f t="shared" si="5"/>
        <v>23</v>
      </c>
    </row>
    <row r="139" spans="2:22">
      <c r="B139" s="57">
        <f t="shared" si="4"/>
        <v>0.4</v>
      </c>
      <c r="C139" s="60">
        <f>MIN($B139*'Tiebreaker Calculation'!C$123,C$122)*'Tiebreaker Calculation'!C50</f>
        <v>0</v>
      </c>
      <c r="D139" s="60">
        <f>MIN($B139*'Tiebreaker Calculation'!D$123,D$122)*'Tiebreaker Calculation'!D50</f>
        <v>0</v>
      </c>
      <c r="E139" s="60">
        <f>MIN($B139*'Tiebreaker Calculation'!E$123,E$122)*'Tiebreaker Calculation'!E50</f>
        <v>0</v>
      </c>
      <c r="F139" s="60">
        <f>MIN($B139*'Tiebreaker Calculation'!F$123,F$122)*'Tiebreaker Calculation'!F50</f>
        <v>0</v>
      </c>
      <c r="G139" s="60">
        <f>MIN($B139*'Tiebreaker Calculation'!G$123,G$122)*'Tiebreaker Calculation'!G50</f>
        <v>0</v>
      </c>
      <c r="H139" s="60">
        <f>MIN($B139*'Tiebreaker Calculation'!H$123,H$122)*'Tiebreaker Calculation'!H50</f>
        <v>0</v>
      </c>
      <c r="I139" s="269">
        <f t="shared" si="5"/>
        <v>0</v>
      </c>
    </row>
    <row r="140" spans="2:22">
      <c r="B140" s="57">
        <f t="shared" si="4"/>
        <v>0.4</v>
      </c>
      <c r="C140" s="60">
        <f>MIN($B140*'Tiebreaker Calculation'!C$123,C$122)*'Tiebreaker Calculation'!C51</f>
        <v>0</v>
      </c>
      <c r="D140" s="60">
        <f>MIN($B140*'Tiebreaker Calculation'!D$123,D$122)*'Tiebreaker Calculation'!D51</f>
        <v>0</v>
      </c>
      <c r="E140" s="60">
        <f>MIN($B140*'Tiebreaker Calculation'!E$123,E$122)*'Tiebreaker Calculation'!E51</f>
        <v>0</v>
      </c>
      <c r="F140" s="60">
        <f>MIN($B140*'Tiebreaker Calculation'!F$123,F$122)*'Tiebreaker Calculation'!F51</f>
        <v>0</v>
      </c>
      <c r="G140" s="60">
        <f>MIN($B140*'Tiebreaker Calculation'!G$123,G$122)*'Tiebreaker Calculation'!G51</f>
        <v>0</v>
      </c>
      <c r="H140" s="60">
        <f>MIN($B140*'Tiebreaker Calculation'!H$123,H$122)*'Tiebreaker Calculation'!H51</f>
        <v>0</v>
      </c>
      <c r="I140" s="269">
        <f t="shared" si="5"/>
        <v>0</v>
      </c>
    </row>
    <row r="141" spans="2:22">
      <c r="B141" s="57">
        <f t="shared" si="4"/>
        <v>0.45</v>
      </c>
      <c r="C141" s="60">
        <f>MIN($B141*'Tiebreaker Calculation'!C$123,C$122)*'Tiebreaker Calculation'!C52</f>
        <v>0</v>
      </c>
      <c r="D141" s="60">
        <f>MIN($B141*'Tiebreaker Calculation'!D$123,D$122)*'Tiebreaker Calculation'!D52</f>
        <v>0</v>
      </c>
      <c r="E141" s="60">
        <f>MIN($B141*'Tiebreaker Calculation'!E$123,E$122)*'Tiebreaker Calculation'!E52</f>
        <v>0</v>
      </c>
      <c r="F141" s="60">
        <f>MIN($B141*'Tiebreaker Calculation'!F$123,F$122)*'Tiebreaker Calculation'!F52</f>
        <v>0</v>
      </c>
      <c r="G141" s="60">
        <f>MIN($B141*'Tiebreaker Calculation'!G$123,G$122)*'Tiebreaker Calculation'!G52</f>
        <v>0</v>
      </c>
      <c r="H141" s="60">
        <f>MIN($B141*'Tiebreaker Calculation'!H$123,H$122)*'Tiebreaker Calculation'!H52</f>
        <v>0</v>
      </c>
      <c r="I141" s="269">
        <f t="shared" si="5"/>
        <v>0</v>
      </c>
    </row>
    <row r="142" spans="2:22">
      <c r="B142" s="57">
        <f t="shared" si="4"/>
        <v>0.45</v>
      </c>
      <c r="C142" s="60">
        <f>MIN($B142*'Tiebreaker Calculation'!C$123,C$122)*'Tiebreaker Calculation'!C53</f>
        <v>0</v>
      </c>
      <c r="D142" s="60">
        <f>MIN($B142*'Tiebreaker Calculation'!D$123,D$122)*'Tiebreaker Calculation'!D53</f>
        <v>0</v>
      </c>
      <c r="E142" s="60">
        <f>MIN($B142*'Tiebreaker Calculation'!E$123,E$122)*'Tiebreaker Calculation'!E53</f>
        <v>0</v>
      </c>
      <c r="F142" s="60">
        <f>MIN($B142*'Tiebreaker Calculation'!F$123,F$122)*'Tiebreaker Calculation'!F53</f>
        <v>0</v>
      </c>
      <c r="G142" s="60">
        <f>MIN($B142*'Tiebreaker Calculation'!G$123,G$122)*'Tiebreaker Calculation'!G53</f>
        <v>0</v>
      </c>
      <c r="H142" s="60">
        <f>MIN($B142*'Tiebreaker Calculation'!H$123,H$122)*'Tiebreaker Calculation'!H53</f>
        <v>0</v>
      </c>
      <c r="I142" s="269">
        <f t="shared" si="5"/>
        <v>0</v>
      </c>
    </row>
    <row r="143" spans="2:22">
      <c r="B143" s="57">
        <f t="shared" si="4"/>
        <v>0.5</v>
      </c>
      <c r="C143" s="60">
        <f>MIN($B143*'Tiebreaker Calculation'!C$123,C$122)*'Tiebreaker Calculation'!C54</f>
        <v>0</v>
      </c>
      <c r="D143" s="60">
        <f>MIN($B143*'Tiebreaker Calculation'!D$123,D$122)*'Tiebreaker Calculation'!D54</f>
        <v>0</v>
      </c>
      <c r="E143" s="60">
        <f>MIN($B143*'Tiebreaker Calculation'!E$123,E$122)*'Tiebreaker Calculation'!E54</f>
        <v>0</v>
      </c>
      <c r="F143" s="60">
        <f>MIN($B143*'Tiebreaker Calculation'!F$123,F$122)*'Tiebreaker Calculation'!F54</f>
        <v>0</v>
      </c>
      <c r="G143" s="60">
        <f>MIN($B143*'Tiebreaker Calculation'!G$123,G$122)*'Tiebreaker Calculation'!G54</f>
        <v>0</v>
      </c>
      <c r="H143" s="60">
        <f>MIN($B143*'Tiebreaker Calculation'!H$123,H$122)*'Tiebreaker Calculation'!H54</f>
        <v>0</v>
      </c>
      <c r="I143" s="269">
        <f t="shared" si="5"/>
        <v>0</v>
      </c>
    </row>
    <row r="144" spans="2:22">
      <c r="B144" s="57">
        <f t="shared" si="4"/>
        <v>0.5</v>
      </c>
      <c r="C144" s="60">
        <f>MIN($B144*'Tiebreaker Calculation'!C$123,C$122)*'Tiebreaker Calculation'!C55</f>
        <v>0</v>
      </c>
      <c r="D144" s="60">
        <f>MIN($B144*'Tiebreaker Calculation'!D$123,D$122)*'Tiebreaker Calculation'!D55</f>
        <v>0</v>
      </c>
      <c r="E144" s="60">
        <f>MIN($B144*'Tiebreaker Calculation'!E$123,E$122)*'Tiebreaker Calculation'!E55</f>
        <v>0</v>
      </c>
      <c r="F144" s="60">
        <f>MIN($B144*'Tiebreaker Calculation'!F$123,F$122)*'Tiebreaker Calculation'!F55</f>
        <v>0</v>
      </c>
      <c r="G144" s="60">
        <f>MIN($B144*'Tiebreaker Calculation'!G$123,G$122)*'Tiebreaker Calculation'!G55</f>
        <v>0</v>
      </c>
      <c r="H144" s="60">
        <f>MIN($B144*'Tiebreaker Calculation'!H$123,H$122)*'Tiebreaker Calculation'!H55</f>
        <v>0</v>
      </c>
      <c r="I144" s="269">
        <f t="shared" si="5"/>
        <v>0</v>
      </c>
    </row>
    <row r="145" spans="2:23">
      <c r="B145" s="57">
        <f t="shared" si="4"/>
        <v>0.55000000000000004</v>
      </c>
      <c r="C145" s="60">
        <f>MIN($B145*'Tiebreaker Calculation'!C$123,C$122)*'Tiebreaker Calculation'!C56</f>
        <v>0</v>
      </c>
      <c r="D145" s="60">
        <f>MIN($B145*'Tiebreaker Calculation'!D$123,D$122)*'Tiebreaker Calculation'!D56</f>
        <v>0</v>
      </c>
      <c r="E145" s="60">
        <f>MIN($B145*'Tiebreaker Calculation'!E$123,E$122)*'Tiebreaker Calculation'!E56</f>
        <v>0</v>
      </c>
      <c r="F145" s="60">
        <f>MIN($B145*'Tiebreaker Calculation'!F$123,F$122)*'Tiebreaker Calculation'!F56</f>
        <v>0</v>
      </c>
      <c r="G145" s="60">
        <f>MIN($B145*'Tiebreaker Calculation'!G$123,G$122)*'Tiebreaker Calculation'!G56</f>
        <v>0</v>
      </c>
      <c r="H145" s="60">
        <f>MIN($B145*'Tiebreaker Calculation'!H$123,H$122)*'Tiebreaker Calculation'!H56</f>
        <v>0</v>
      </c>
      <c r="I145" s="269">
        <f t="shared" si="5"/>
        <v>0</v>
      </c>
    </row>
    <row r="146" spans="2:23">
      <c r="B146" s="57">
        <f t="shared" si="4"/>
        <v>0.55000000000000004</v>
      </c>
      <c r="C146" s="60">
        <f>MIN($B146*'Tiebreaker Calculation'!C$123,C$122)*'Tiebreaker Calculation'!C57</f>
        <v>0</v>
      </c>
      <c r="D146" s="60">
        <f>MIN($B146*'Tiebreaker Calculation'!D$123,D$122)*'Tiebreaker Calculation'!D57</f>
        <v>0</v>
      </c>
      <c r="E146" s="60">
        <f>MIN($B146*'Tiebreaker Calculation'!E$123,E$122)*'Tiebreaker Calculation'!E57</f>
        <v>0</v>
      </c>
      <c r="F146" s="60">
        <f>MIN($B146*'Tiebreaker Calculation'!F$123,F$122)*'Tiebreaker Calculation'!F57</f>
        <v>0</v>
      </c>
      <c r="G146" s="60">
        <f>MIN($B146*'Tiebreaker Calculation'!G$123,G$122)*'Tiebreaker Calculation'!G57</f>
        <v>0</v>
      </c>
      <c r="H146" s="60">
        <f>MIN($B146*'Tiebreaker Calculation'!H$123,H$122)*'Tiebreaker Calculation'!H57</f>
        <v>0</v>
      </c>
      <c r="I146" s="269">
        <f t="shared" si="5"/>
        <v>0</v>
      </c>
    </row>
    <row r="147" spans="2:23">
      <c r="B147" s="57">
        <f t="shared" si="4"/>
        <v>0.6</v>
      </c>
      <c r="C147" s="60">
        <f>MIN($B147*'Tiebreaker Calculation'!C$123,C$122)*'Tiebreaker Calculation'!C58</f>
        <v>0</v>
      </c>
      <c r="D147" s="60">
        <f>MIN($B147*'Tiebreaker Calculation'!D$123,D$122)*'Tiebreaker Calculation'!D58</f>
        <v>0</v>
      </c>
      <c r="E147" s="60">
        <f>MIN($B147*'Tiebreaker Calculation'!E$123,E$122)*'Tiebreaker Calculation'!E58</f>
        <v>0</v>
      </c>
      <c r="F147" s="60">
        <f>MIN($B147*'Tiebreaker Calculation'!F$123,F$122)*'Tiebreaker Calculation'!F58</f>
        <v>0</v>
      </c>
      <c r="G147" s="60">
        <f>MIN($B147*'Tiebreaker Calculation'!G$123,G$122)*'Tiebreaker Calculation'!G58</f>
        <v>0</v>
      </c>
      <c r="H147" s="60">
        <f>MIN($B147*'Tiebreaker Calculation'!H$123,H$122)*'Tiebreaker Calculation'!H58</f>
        <v>0</v>
      </c>
      <c r="I147" s="269">
        <f t="shared" si="5"/>
        <v>0</v>
      </c>
    </row>
    <row r="148" spans="2:23">
      <c r="B148" s="57">
        <f t="shared" si="4"/>
        <v>0.6</v>
      </c>
      <c r="C148" s="60">
        <f>MIN($B148*'Tiebreaker Calculation'!C$123,C$122)*'Tiebreaker Calculation'!C59</f>
        <v>0</v>
      </c>
      <c r="D148" s="60">
        <f>MIN($B148*'Tiebreaker Calculation'!D$123,D$122)*'Tiebreaker Calculation'!D59</f>
        <v>0</v>
      </c>
      <c r="E148" s="60">
        <f>MIN($B148*'Tiebreaker Calculation'!E$123,E$122)*'Tiebreaker Calculation'!E59</f>
        <v>0</v>
      </c>
      <c r="F148" s="60">
        <f>MIN($B148*'Tiebreaker Calculation'!F$123,F$122)*'Tiebreaker Calculation'!F59</f>
        <v>0</v>
      </c>
      <c r="G148" s="60">
        <f>MIN($B148*'Tiebreaker Calculation'!G$123,G$122)*'Tiebreaker Calculation'!G59</f>
        <v>0</v>
      </c>
      <c r="H148" s="60">
        <f>MIN($B148*'Tiebreaker Calculation'!H$123,H$122)*'Tiebreaker Calculation'!H59</f>
        <v>0</v>
      </c>
      <c r="I148" s="269">
        <f t="shared" si="5"/>
        <v>0</v>
      </c>
    </row>
    <row r="149" spans="2:23">
      <c r="B149" s="62" t="s">
        <v>82</v>
      </c>
      <c r="C149" s="92">
        <f t="shared" ref="C149:H149" si="6">SUM(C134:C148)</f>
        <v>8019</v>
      </c>
      <c r="D149" s="92">
        <f t="shared" si="6"/>
        <v>64912.799999999996</v>
      </c>
      <c r="E149" s="92">
        <f t="shared" si="6"/>
        <v>12033</v>
      </c>
      <c r="F149" s="92">
        <f t="shared" si="6"/>
        <v>17648</v>
      </c>
      <c r="G149" s="92">
        <f t="shared" si="6"/>
        <v>0</v>
      </c>
      <c r="H149" s="92">
        <f t="shared" si="6"/>
        <v>0</v>
      </c>
      <c r="I149" s="268"/>
    </row>
    <row r="150" spans="2:23" ht="16.3" thickBot="1">
      <c r="B150" s="58"/>
      <c r="C150" s="28"/>
      <c r="D150" s="28"/>
      <c r="E150" s="28"/>
      <c r="F150" s="28"/>
      <c r="G150" s="28"/>
      <c r="H150" s="28"/>
      <c r="I150" s="29"/>
    </row>
    <row r="151" spans="2:23" ht="16.3" thickBot="1"/>
    <row r="152" spans="2:23">
      <c r="B152" s="64" t="s">
        <v>118</v>
      </c>
      <c r="C152" s="59" t="s">
        <v>8</v>
      </c>
      <c r="D152" s="59" t="s">
        <v>9</v>
      </c>
      <c r="E152" s="59" t="s">
        <v>10</v>
      </c>
      <c r="F152" s="59" t="s">
        <v>11</v>
      </c>
      <c r="G152" s="59" t="s">
        <v>12</v>
      </c>
      <c r="H152" s="54" t="s">
        <v>76</v>
      </c>
    </row>
    <row r="153" spans="2:23">
      <c r="B153" s="57">
        <f t="shared" ref="B153:B167" si="7">B45</f>
        <v>0.3</v>
      </c>
      <c r="C153" s="60">
        <f t="shared" ref="C153:C167" si="8">MIN(C$122,N45)*C45</f>
        <v>500</v>
      </c>
      <c r="D153" s="60">
        <f t="shared" ref="D153:D167" si="9">MIN(D$122,O45)*D45</f>
        <v>0</v>
      </c>
      <c r="E153" s="60">
        <f t="shared" ref="E153:E167" si="10">MIN(E$122,P45)*E45</f>
        <v>0</v>
      </c>
      <c r="F153" s="60">
        <f t="shared" ref="F153:F167" si="11">MIN(F$122,Q45)*F45</f>
        <v>0</v>
      </c>
      <c r="G153" s="60">
        <f t="shared" ref="G153:G167" si="12">MIN(G$122,R45)*G45</f>
        <v>0</v>
      </c>
      <c r="H153" s="61">
        <f t="shared" ref="H153:H167" si="13">MIN(H$122,S45)*H45</f>
        <v>0</v>
      </c>
      <c r="I153" s="30"/>
      <c r="J153" s="30"/>
      <c r="K153" s="30"/>
      <c r="M153" s="31"/>
      <c r="N153" s="31"/>
      <c r="O153" s="31"/>
      <c r="P153" s="31"/>
      <c r="Q153" s="31"/>
      <c r="S153" s="30"/>
      <c r="T153" s="30"/>
      <c r="U153" s="30"/>
      <c r="V153" s="30"/>
      <c r="W153" s="30"/>
    </row>
    <row r="154" spans="2:23">
      <c r="B154" s="57">
        <f t="shared" si="7"/>
        <v>0.25</v>
      </c>
      <c r="C154" s="60">
        <f t="shared" si="8"/>
        <v>0</v>
      </c>
      <c r="D154" s="60">
        <f t="shared" si="9"/>
        <v>13000</v>
      </c>
      <c r="E154" s="60">
        <f t="shared" si="10"/>
        <v>0</v>
      </c>
      <c r="F154" s="60">
        <f t="shared" si="11"/>
        <v>0</v>
      </c>
      <c r="G154" s="60">
        <f t="shared" si="12"/>
        <v>0</v>
      </c>
      <c r="H154" s="61">
        <f t="shared" si="13"/>
        <v>0</v>
      </c>
      <c r="I154" s="30"/>
      <c r="J154" s="30"/>
      <c r="K154" s="30"/>
      <c r="M154" s="31"/>
      <c r="N154" s="31"/>
      <c r="O154" s="31"/>
      <c r="P154" s="31"/>
      <c r="Q154" s="31"/>
      <c r="S154" s="30"/>
      <c r="T154" s="30"/>
      <c r="U154" s="30"/>
      <c r="V154" s="30"/>
      <c r="W154" s="30"/>
    </row>
    <row r="155" spans="2:23">
      <c r="B155" s="57">
        <f t="shared" si="7"/>
        <v>0.45</v>
      </c>
      <c r="C155" s="60">
        <f t="shared" si="8"/>
        <v>0</v>
      </c>
      <c r="D155" s="60">
        <f t="shared" si="9"/>
        <v>0</v>
      </c>
      <c r="E155" s="60">
        <f t="shared" si="10"/>
        <v>6300</v>
      </c>
      <c r="F155" s="60">
        <f t="shared" si="11"/>
        <v>0</v>
      </c>
      <c r="G155" s="60">
        <f t="shared" si="12"/>
        <v>0</v>
      </c>
      <c r="H155" s="61">
        <f t="shared" si="13"/>
        <v>0</v>
      </c>
      <c r="I155" s="30"/>
      <c r="J155" s="30"/>
      <c r="K155" s="30"/>
      <c r="M155" s="31"/>
      <c r="N155" s="31"/>
      <c r="O155" s="31"/>
      <c r="P155" s="31"/>
      <c r="Q155" s="31"/>
      <c r="S155" s="30"/>
      <c r="T155" s="30"/>
      <c r="U155" s="30"/>
      <c r="V155" s="30"/>
      <c r="W155" s="30"/>
    </row>
    <row r="156" spans="2:23">
      <c r="B156" s="57">
        <f t="shared" si="7"/>
        <v>0.5</v>
      </c>
      <c r="C156" s="60">
        <f t="shared" si="8"/>
        <v>0</v>
      </c>
      <c r="D156" s="60">
        <f t="shared" si="9"/>
        <v>0</v>
      </c>
      <c r="E156" s="60">
        <f t="shared" si="10"/>
        <v>0</v>
      </c>
      <c r="F156" s="60">
        <f t="shared" si="11"/>
        <v>29792</v>
      </c>
      <c r="G156" s="60">
        <f t="shared" si="12"/>
        <v>0</v>
      </c>
      <c r="H156" s="61">
        <f t="shared" si="13"/>
        <v>0</v>
      </c>
      <c r="I156" s="30"/>
      <c r="J156" s="30"/>
      <c r="K156" s="30"/>
      <c r="M156" s="31"/>
      <c r="N156" s="31"/>
      <c r="O156" s="31"/>
      <c r="P156" s="31"/>
      <c r="Q156" s="31"/>
      <c r="S156" s="30"/>
      <c r="T156" s="30"/>
      <c r="U156" s="30"/>
      <c r="V156" s="30"/>
      <c r="W156" s="30"/>
    </row>
    <row r="157" spans="2:23">
      <c r="B157" s="57">
        <f t="shared" si="7"/>
        <v>0.6</v>
      </c>
      <c r="C157" s="60">
        <f t="shared" si="8"/>
        <v>2000</v>
      </c>
      <c r="D157" s="60">
        <f t="shared" si="9"/>
        <v>21000</v>
      </c>
      <c r="E157" s="60">
        <f t="shared" si="10"/>
        <v>0</v>
      </c>
      <c r="F157" s="60">
        <f t="shared" si="11"/>
        <v>0</v>
      </c>
      <c r="G157" s="60">
        <f t="shared" si="12"/>
        <v>0</v>
      </c>
      <c r="H157" s="61">
        <f t="shared" si="13"/>
        <v>0</v>
      </c>
      <c r="I157" s="30"/>
      <c r="J157" s="30"/>
      <c r="K157" s="30"/>
    </row>
    <row r="158" spans="2:23">
      <c r="B158" s="57">
        <f t="shared" si="7"/>
        <v>0.4</v>
      </c>
      <c r="C158" s="60">
        <f t="shared" si="8"/>
        <v>0</v>
      </c>
      <c r="D158" s="60">
        <f t="shared" si="9"/>
        <v>0</v>
      </c>
      <c r="E158" s="60">
        <f t="shared" si="10"/>
        <v>0</v>
      </c>
      <c r="F158" s="60">
        <f t="shared" si="11"/>
        <v>0</v>
      </c>
      <c r="G158" s="60">
        <f t="shared" si="12"/>
        <v>0</v>
      </c>
      <c r="H158" s="61">
        <f t="shared" si="13"/>
        <v>0</v>
      </c>
      <c r="I158" s="30"/>
      <c r="J158" s="30"/>
      <c r="K158" s="30"/>
    </row>
    <row r="159" spans="2:23">
      <c r="B159" s="57">
        <f t="shared" si="7"/>
        <v>0.4</v>
      </c>
      <c r="C159" s="60">
        <f t="shared" si="8"/>
        <v>0</v>
      </c>
      <c r="D159" s="60">
        <f t="shared" si="9"/>
        <v>0</v>
      </c>
      <c r="E159" s="60">
        <f t="shared" si="10"/>
        <v>0</v>
      </c>
      <c r="F159" s="60">
        <f t="shared" si="11"/>
        <v>0</v>
      </c>
      <c r="G159" s="60">
        <f t="shared" si="12"/>
        <v>0</v>
      </c>
      <c r="H159" s="61">
        <f t="shared" si="13"/>
        <v>0</v>
      </c>
      <c r="I159" s="30"/>
      <c r="J159" s="30"/>
      <c r="K159" s="30"/>
    </row>
    <row r="160" spans="2:23">
      <c r="B160" s="57">
        <f t="shared" si="7"/>
        <v>0.45</v>
      </c>
      <c r="C160" s="60">
        <f t="shared" si="8"/>
        <v>0</v>
      </c>
      <c r="D160" s="60">
        <f t="shared" si="9"/>
        <v>0</v>
      </c>
      <c r="E160" s="60">
        <f t="shared" si="10"/>
        <v>0</v>
      </c>
      <c r="F160" s="60">
        <f t="shared" si="11"/>
        <v>0</v>
      </c>
      <c r="G160" s="60">
        <f t="shared" si="12"/>
        <v>0</v>
      </c>
      <c r="H160" s="61">
        <f t="shared" si="13"/>
        <v>0</v>
      </c>
      <c r="I160" s="30"/>
      <c r="J160" s="30"/>
      <c r="K160" s="30"/>
    </row>
    <row r="161" spans="2:25">
      <c r="B161" s="57">
        <f t="shared" si="7"/>
        <v>0.45</v>
      </c>
      <c r="C161" s="60">
        <f t="shared" si="8"/>
        <v>0</v>
      </c>
      <c r="D161" s="60">
        <f t="shared" si="9"/>
        <v>0</v>
      </c>
      <c r="E161" s="60">
        <f t="shared" si="10"/>
        <v>0</v>
      </c>
      <c r="F161" s="60">
        <f t="shared" si="11"/>
        <v>0</v>
      </c>
      <c r="G161" s="60">
        <f t="shared" si="12"/>
        <v>0</v>
      </c>
      <c r="H161" s="61">
        <f t="shared" si="13"/>
        <v>0</v>
      </c>
      <c r="I161" s="30"/>
      <c r="J161" s="30"/>
      <c r="K161" s="30"/>
    </row>
    <row r="162" spans="2:25">
      <c r="B162" s="57">
        <f t="shared" si="7"/>
        <v>0.5</v>
      </c>
      <c r="C162" s="60">
        <f t="shared" si="8"/>
        <v>0</v>
      </c>
      <c r="D162" s="60">
        <f t="shared" si="9"/>
        <v>0</v>
      </c>
      <c r="E162" s="60">
        <f t="shared" si="10"/>
        <v>0</v>
      </c>
      <c r="F162" s="60">
        <f t="shared" si="11"/>
        <v>0</v>
      </c>
      <c r="G162" s="60">
        <f t="shared" si="12"/>
        <v>0</v>
      </c>
      <c r="H162" s="61">
        <f t="shared" si="13"/>
        <v>0</v>
      </c>
      <c r="I162" s="30"/>
      <c r="J162" s="30"/>
      <c r="K162" s="30"/>
    </row>
    <row r="163" spans="2:25">
      <c r="B163" s="57">
        <f t="shared" si="7"/>
        <v>0.5</v>
      </c>
      <c r="C163" s="60">
        <f t="shared" si="8"/>
        <v>0</v>
      </c>
      <c r="D163" s="60">
        <f t="shared" si="9"/>
        <v>0</v>
      </c>
      <c r="E163" s="60">
        <f t="shared" si="10"/>
        <v>0</v>
      </c>
      <c r="F163" s="60">
        <f t="shared" si="11"/>
        <v>0</v>
      </c>
      <c r="G163" s="60">
        <f t="shared" si="12"/>
        <v>0</v>
      </c>
      <c r="H163" s="61">
        <f t="shared" si="13"/>
        <v>0</v>
      </c>
      <c r="I163" s="30"/>
      <c r="J163" s="30"/>
      <c r="K163" s="30"/>
    </row>
    <row r="164" spans="2:25">
      <c r="B164" s="57">
        <f t="shared" si="7"/>
        <v>0.55000000000000004</v>
      </c>
      <c r="C164" s="60">
        <f t="shared" si="8"/>
        <v>0</v>
      </c>
      <c r="D164" s="60">
        <f t="shared" si="9"/>
        <v>0</v>
      </c>
      <c r="E164" s="60">
        <f t="shared" si="10"/>
        <v>0</v>
      </c>
      <c r="F164" s="60">
        <f t="shared" si="11"/>
        <v>0</v>
      </c>
      <c r="G164" s="60">
        <f t="shared" si="12"/>
        <v>0</v>
      </c>
      <c r="H164" s="61">
        <f t="shared" si="13"/>
        <v>0</v>
      </c>
      <c r="I164" s="30"/>
      <c r="J164" s="30"/>
      <c r="K164" s="30"/>
    </row>
    <row r="165" spans="2:25">
      <c r="B165" s="57">
        <f t="shared" si="7"/>
        <v>0.55000000000000004</v>
      </c>
      <c r="C165" s="60">
        <f t="shared" si="8"/>
        <v>0</v>
      </c>
      <c r="D165" s="60">
        <f t="shared" si="9"/>
        <v>0</v>
      </c>
      <c r="E165" s="60">
        <f t="shared" si="10"/>
        <v>0</v>
      </c>
      <c r="F165" s="60">
        <f t="shared" si="11"/>
        <v>0</v>
      </c>
      <c r="G165" s="60">
        <f t="shared" si="12"/>
        <v>0</v>
      </c>
      <c r="H165" s="61">
        <f t="shared" si="13"/>
        <v>0</v>
      </c>
      <c r="I165" s="30"/>
      <c r="J165" s="30"/>
      <c r="K165" s="30"/>
    </row>
    <row r="166" spans="2:25">
      <c r="B166" s="57">
        <f t="shared" si="7"/>
        <v>0.6</v>
      </c>
      <c r="C166" s="60">
        <f t="shared" si="8"/>
        <v>0</v>
      </c>
      <c r="D166" s="60">
        <f t="shared" si="9"/>
        <v>0</v>
      </c>
      <c r="E166" s="60">
        <f t="shared" si="10"/>
        <v>0</v>
      </c>
      <c r="F166" s="60">
        <f t="shared" si="11"/>
        <v>0</v>
      </c>
      <c r="G166" s="60">
        <f t="shared" si="12"/>
        <v>0</v>
      </c>
      <c r="H166" s="61">
        <f t="shared" si="13"/>
        <v>0</v>
      </c>
      <c r="I166" s="30"/>
      <c r="J166" s="30"/>
      <c r="K166" s="30"/>
    </row>
    <row r="167" spans="2:25">
      <c r="B167" s="57">
        <f t="shared" si="7"/>
        <v>0.6</v>
      </c>
      <c r="C167" s="60">
        <f t="shared" si="8"/>
        <v>0</v>
      </c>
      <c r="D167" s="60">
        <f t="shared" si="9"/>
        <v>0</v>
      </c>
      <c r="E167" s="60">
        <f t="shared" si="10"/>
        <v>0</v>
      </c>
      <c r="F167" s="60">
        <f t="shared" si="11"/>
        <v>0</v>
      </c>
      <c r="G167" s="60">
        <f t="shared" si="12"/>
        <v>0</v>
      </c>
      <c r="H167" s="61">
        <f t="shared" si="13"/>
        <v>0</v>
      </c>
      <c r="I167" s="30"/>
      <c r="J167" s="30"/>
      <c r="K167" s="30"/>
    </row>
    <row r="168" spans="2:25">
      <c r="B168" s="62" t="s">
        <v>82</v>
      </c>
      <c r="C168" s="91">
        <f>SUM(C153:C167)</f>
        <v>2500</v>
      </c>
      <c r="D168" s="92">
        <f>SUM(D153:D167)</f>
        <v>34000</v>
      </c>
      <c r="E168" s="92">
        <f t="shared" ref="E168:H168" si="14">SUM(E153:E167)</f>
        <v>6300</v>
      </c>
      <c r="F168" s="92">
        <f t="shared" si="14"/>
        <v>29792</v>
      </c>
      <c r="G168" s="92">
        <f t="shared" si="14"/>
        <v>0</v>
      </c>
      <c r="H168" s="93">
        <f t="shared" si="14"/>
        <v>0</v>
      </c>
      <c r="I168" s="226"/>
      <c r="J168" s="226"/>
      <c r="K168" s="226"/>
    </row>
    <row r="169" spans="2:25" ht="16.3" thickBot="1">
      <c r="B169" s="58"/>
      <c r="C169" s="28"/>
      <c r="D169" s="28"/>
      <c r="E169" s="28"/>
      <c r="F169" s="28"/>
      <c r="G169" s="28"/>
      <c r="H169" s="29"/>
    </row>
    <row r="170" spans="2:25" ht="16.3" thickBot="1">
      <c r="F170" s="238"/>
      <c r="G170" s="238"/>
      <c r="H170" s="238"/>
      <c r="I170" s="238"/>
      <c r="J170" s="238"/>
      <c r="K170" s="238"/>
      <c r="L170" s="238"/>
      <c r="M170" s="238"/>
    </row>
    <row r="171" spans="2:25" ht="18.45">
      <c r="B171" s="15"/>
      <c r="C171" s="16"/>
      <c r="D171" s="310" t="s">
        <v>1</v>
      </c>
      <c r="E171" s="311"/>
      <c r="F171" s="311"/>
      <c r="G171" s="311"/>
      <c r="H171" s="311"/>
      <c r="I171" s="311"/>
      <c r="J171" s="311"/>
      <c r="K171" s="311"/>
      <c r="L171" s="311"/>
      <c r="M171" s="311"/>
      <c r="N171" s="16"/>
      <c r="O171" s="16"/>
      <c r="P171" s="16"/>
      <c r="Q171" s="16"/>
      <c r="R171" s="16"/>
      <c r="S171" s="16"/>
      <c r="T171" s="16"/>
      <c r="U171" s="16"/>
      <c r="V171" s="16"/>
      <c r="W171" s="16"/>
      <c r="X171" s="16"/>
      <c r="Y171" s="24"/>
    </row>
    <row r="172" spans="2:25">
      <c r="B172" s="17"/>
      <c r="C172" s="2"/>
      <c r="D172" s="2"/>
      <c r="E172" s="3"/>
      <c r="F172" s="2"/>
      <c r="G172" s="2"/>
      <c r="H172" s="2"/>
      <c r="I172" s="2"/>
      <c r="J172" s="2"/>
      <c r="K172" s="2"/>
      <c r="L172" s="2"/>
      <c r="M172" s="2"/>
      <c r="N172" s="14"/>
      <c r="O172" s="14"/>
      <c r="P172" s="14"/>
      <c r="Q172" s="25"/>
      <c r="R172" s="26"/>
      <c r="S172" s="18"/>
      <c r="T172" s="18"/>
      <c r="U172" s="18"/>
      <c r="V172" s="18"/>
      <c r="W172" s="18"/>
      <c r="X172" s="18"/>
      <c r="Y172" s="27"/>
    </row>
    <row r="173" spans="2:25">
      <c r="B173" s="17" t="s">
        <v>2</v>
      </c>
      <c r="C173" s="2"/>
      <c r="D173" s="2"/>
      <c r="E173" s="4">
        <f>MEDIAN(E178:E235)</f>
        <v>560000</v>
      </c>
      <c r="F173" s="2"/>
      <c r="G173" s="2"/>
      <c r="H173" s="14"/>
      <c r="I173" s="14"/>
      <c r="J173" s="14"/>
      <c r="K173" s="14"/>
      <c r="L173" s="18"/>
      <c r="M173" s="18"/>
      <c r="N173" s="18"/>
      <c r="O173" s="18"/>
      <c r="P173" s="18"/>
      <c r="Q173" s="18"/>
      <c r="R173" s="18"/>
      <c r="S173" s="18"/>
      <c r="T173" s="18"/>
      <c r="U173" s="18"/>
      <c r="V173" s="18"/>
      <c r="W173" s="18"/>
      <c r="X173" s="18"/>
      <c r="Y173" s="27"/>
    </row>
    <row r="174" spans="2:25">
      <c r="B174" s="17"/>
      <c r="C174" s="2"/>
      <c r="D174" s="2"/>
      <c r="E174" s="3"/>
      <c r="F174" s="2"/>
      <c r="G174" s="2"/>
      <c r="H174" s="14"/>
      <c r="I174" s="14"/>
      <c r="J174" s="14"/>
      <c r="K174" s="14"/>
      <c r="L174" s="18"/>
      <c r="M174" s="18"/>
      <c r="N174" s="18"/>
      <c r="O174" s="18"/>
      <c r="P174" s="18"/>
      <c r="Q174" s="18"/>
      <c r="R174" s="18"/>
      <c r="S174" s="18"/>
      <c r="T174" s="18"/>
      <c r="U174" s="18"/>
      <c r="V174" s="18"/>
      <c r="W174" s="18"/>
      <c r="X174" s="18"/>
      <c r="Y174" s="27"/>
    </row>
    <row r="175" spans="2:25">
      <c r="B175" s="17"/>
      <c r="C175" s="2"/>
      <c r="D175" s="5" t="s">
        <v>3</v>
      </c>
      <c r="E175" s="6" t="s">
        <v>4</v>
      </c>
      <c r="F175" s="2"/>
      <c r="G175" s="2"/>
      <c r="H175" s="14"/>
      <c r="I175" s="14"/>
      <c r="J175" s="14"/>
      <c r="K175" s="14"/>
      <c r="L175" s="18"/>
      <c r="M175" s="18"/>
      <c r="N175" s="18"/>
      <c r="O175" s="18"/>
      <c r="P175" s="18"/>
      <c r="Q175" s="18"/>
      <c r="R175" s="18"/>
      <c r="S175" s="18"/>
      <c r="T175" s="18"/>
      <c r="U175" s="18"/>
      <c r="V175" s="18"/>
      <c r="W175" s="18"/>
      <c r="X175" s="18"/>
      <c r="Y175" s="27"/>
    </row>
    <row r="176" spans="2:25">
      <c r="B176" s="17" t="s">
        <v>74</v>
      </c>
      <c r="C176" s="5"/>
      <c r="D176" s="5" t="s">
        <v>5</v>
      </c>
      <c r="E176" s="6" t="s">
        <v>6</v>
      </c>
      <c r="F176" s="2"/>
      <c r="G176" s="2"/>
      <c r="H176" s="14"/>
      <c r="I176" s="14"/>
      <c r="J176" s="14"/>
      <c r="K176" s="14"/>
      <c r="L176" s="18" t="s">
        <v>73</v>
      </c>
      <c r="M176" s="18"/>
      <c r="N176" s="18"/>
      <c r="O176" s="18"/>
      <c r="P176" s="18"/>
      <c r="Q176" s="18"/>
      <c r="R176" s="18"/>
      <c r="S176" s="18"/>
      <c r="T176" s="18"/>
      <c r="U176" s="18"/>
      <c r="V176" s="18"/>
      <c r="W176" s="18"/>
      <c r="X176" s="18"/>
      <c r="Y176" s="27"/>
    </row>
    <row r="177" spans="2:25" ht="16.3" thickBot="1">
      <c r="B177" s="19" t="s">
        <v>7</v>
      </c>
      <c r="C177" s="13" t="s">
        <v>8</v>
      </c>
      <c r="D177" s="13" t="s">
        <v>9</v>
      </c>
      <c r="E177" s="13" t="s">
        <v>10</v>
      </c>
      <c r="F177" s="13" t="s">
        <v>11</v>
      </c>
      <c r="G177" s="13" t="s">
        <v>12</v>
      </c>
      <c r="H177" s="13" t="s">
        <v>13</v>
      </c>
      <c r="I177" s="14"/>
      <c r="J177" s="14"/>
      <c r="K177" s="14"/>
      <c r="L177" s="13" t="s">
        <v>7</v>
      </c>
      <c r="M177" s="13" t="s">
        <v>8</v>
      </c>
      <c r="N177" s="13" t="s">
        <v>9</v>
      </c>
      <c r="O177" s="13" t="s">
        <v>10</v>
      </c>
      <c r="P177" s="13" t="s">
        <v>11</v>
      </c>
      <c r="Q177" s="13" t="s">
        <v>12</v>
      </c>
      <c r="R177" s="18"/>
      <c r="S177" s="13" t="s">
        <v>75</v>
      </c>
      <c r="T177" s="13" t="s">
        <v>8</v>
      </c>
      <c r="U177" s="13" t="s">
        <v>9</v>
      </c>
      <c r="V177" s="13" t="s">
        <v>10</v>
      </c>
      <c r="W177" s="13" t="s">
        <v>11</v>
      </c>
      <c r="X177" s="13" t="s">
        <v>12</v>
      </c>
      <c r="Y177" s="20" t="s">
        <v>76</v>
      </c>
    </row>
    <row r="178" spans="2:25">
      <c r="B178" s="17" t="s">
        <v>14</v>
      </c>
      <c r="C178" s="2">
        <v>491221</v>
      </c>
      <c r="D178" s="2">
        <v>566373</v>
      </c>
      <c r="E178" s="7">
        <v>683200</v>
      </c>
      <c r="F178" s="2">
        <v>874496</v>
      </c>
      <c r="G178" s="2">
        <v>974243</v>
      </c>
      <c r="H178" s="8">
        <f t="shared" ref="H178:H209" si="15">E178/$E$173-100%</f>
        <v>0.21999999999999997</v>
      </c>
      <c r="I178" s="14"/>
      <c r="J178" s="14"/>
      <c r="K178" s="14"/>
      <c r="L178" s="14" t="s">
        <v>14</v>
      </c>
      <c r="M178" s="14">
        <v>2142</v>
      </c>
      <c r="N178" s="14">
        <v>2385</v>
      </c>
      <c r="O178" s="14">
        <v>2912</v>
      </c>
      <c r="P178" s="14">
        <v>3724</v>
      </c>
      <c r="Q178" s="14">
        <v>4413</v>
      </c>
      <c r="R178" s="18"/>
      <c r="S178" s="14" t="s">
        <v>14</v>
      </c>
      <c r="T178" s="14">
        <v>2970</v>
      </c>
      <c r="U178" s="14">
        <v>3182</v>
      </c>
      <c r="V178" s="14">
        <v>3820</v>
      </c>
      <c r="W178" s="14">
        <v>4412</v>
      </c>
      <c r="X178" s="14">
        <v>4922</v>
      </c>
      <c r="Y178" s="21">
        <v>5432</v>
      </c>
    </row>
    <row r="179" spans="2:25">
      <c r="B179" s="17" t="s">
        <v>15</v>
      </c>
      <c r="C179" s="2">
        <v>402640</v>
      </c>
      <c r="D179" s="2">
        <v>464240</v>
      </c>
      <c r="E179" s="9">
        <v>560000</v>
      </c>
      <c r="F179" s="2">
        <v>716800</v>
      </c>
      <c r="G179" s="2">
        <v>798560</v>
      </c>
      <c r="H179" s="10">
        <f t="shared" si="15"/>
        <v>0</v>
      </c>
      <c r="I179" s="14"/>
      <c r="J179" s="14"/>
      <c r="K179" s="14"/>
      <c r="L179" s="14" t="s">
        <v>15</v>
      </c>
      <c r="M179" s="14">
        <v>1068</v>
      </c>
      <c r="N179" s="14">
        <v>1165</v>
      </c>
      <c r="O179" s="14">
        <v>1529</v>
      </c>
      <c r="P179" s="14">
        <v>2126</v>
      </c>
      <c r="Q179" s="14">
        <v>2527</v>
      </c>
      <c r="R179" s="18"/>
      <c r="S179" s="14" t="s">
        <v>15</v>
      </c>
      <c r="T179" s="14">
        <v>2184</v>
      </c>
      <c r="U179" s="14">
        <v>2340</v>
      </c>
      <c r="V179" s="14">
        <v>2810</v>
      </c>
      <c r="W179" s="14">
        <v>3244</v>
      </c>
      <c r="X179" s="14">
        <v>3620</v>
      </c>
      <c r="Y179" s="21">
        <v>3994</v>
      </c>
    </row>
    <row r="180" spans="2:25">
      <c r="B180" s="17" t="s">
        <v>16</v>
      </c>
      <c r="C180" s="2">
        <v>402640</v>
      </c>
      <c r="D180" s="2">
        <v>464240</v>
      </c>
      <c r="E180" s="9">
        <v>560000</v>
      </c>
      <c r="F180" s="2">
        <v>716800</v>
      </c>
      <c r="G180" s="2">
        <v>798560</v>
      </c>
      <c r="H180" s="10">
        <f t="shared" si="15"/>
        <v>0</v>
      </c>
      <c r="I180" s="14"/>
      <c r="J180" s="14"/>
      <c r="K180" s="14"/>
      <c r="L180" s="14" t="s">
        <v>16</v>
      </c>
      <c r="M180" s="14">
        <v>1387</v>
      </c>
      <c r="N180" s="14">
        <v>1396</v>
      </c>
      <c r="O180" s="14">
        <v>1698</v>
      </c>
      <c r="P180" s="14">
        <v>2220</v>
      </c>
      <c r="Q180" s="14">
        <v>2714</v>
      </c>
      <c r="R180" s="18"/>
      <c r="S180" s="14" t="s">
        <v>16</v>
      </c>
      <c r="T180" s="14">
        <v>1934</v>
      </c>
      <c r="U180" s="14">
        <v>2072</v>
      </c>
      <c r="V180" s="14">
        <v>2486</v>
      </c>
      <c r="W180" s="14">
        <v>2872</v>
      </c>
      <c r="X180" s="14">
        <v>3204</v>
      </c>
      <c r="Y180" s="21">
        <v>3536</v>
      </c>
    </row>
    <row r="181" spans="2:25">
      <c r="B181" s="17" t="s">
        <v>17</v>
      </c>
      <c r="C181" s="2">
        <v>369278</v>
      </c>
      <c r="D181" s="2">
        <v>425774</v>
      </c>
      <c r="E181" s="9">
        <v>513600</v>
      </c>
      <c r="F181" s="2">
        <v>657408</v>
      </c>
      <c r="G181" s="2">
        <v>732394</v>
      </c>
      <c r="H181" s="10">
        <f t="shared" si="15"/>
        <v>-8.2857142857142851E-2</v>
      </c>
      <c r="I181" s="14"/>
      <c r="J181" s="14"/>
      <c r="K181" s="14"/>
      <c r="L181" s="14" t="s">
        <v>17</v>
      </c>
      <c r="M181" s="14">
        <v>1155</v>
      </c>
      <c r="N181" s="14">
        <v>1270</v>
      </c>
      <c r="O181" s="14">
        <v>1625</v>
      </c>
      <c r="P181" s="14">
        <v>2260</v>
      </c>
      <c r="Q181" s="14">
        <v>2726</v>
      </c>
      <c r="R181" s="18"/>
      <c r="S181" s="14" t="s">
        <v>17</v>
      </c>
      <c r="T181" s="14">
        <v>1700</v>
      </c>
      <c r="U181" s="14">
        <v>1820</v>
      </c>
      <c r="V181" s="14">
        <v>2184</v>
      </c>
      <c r="W181" s="14">
        <v>2524</v>
      </c>
      <c r="X181" s="14">
        <v>2816</v>
      </c>
      <c r="Y181" s="21">
        <v>3108</v>
      </c>
    </row>
    <row r="182" spans="2:25">
      <c r="B182" s="17" t="s">
        <v>18</v>
      </c>
      <c r="C182" s="2">
        <v>402640</v>
      </c>
      <c r="D182" s="2">
        <v>464240</v>
      </c>
      <c r="E182" s="9">
        <v>560000</v>
      </c>
      <c r="F182" s="2">
        <v>716800</v>
      </c>
      <c r="G182" s="2">
        <v>798560</v>
      </c>
      <c r="H182" s="10">
        <f t="shared" si="15"/>
        <v>0</v>
      </c>
      <c r="I182" s="14"/>
      <c r="J182" s="14"/>
      <c r="K182" s="14"/>
      <c r="L182" s="14" t="s">
        <v>18</v>
      </c>
      <c r="M182" s="14">
        <v>1078</v>
      </c>
      <c r="N182" s="14">
        <v>1175</v>
      </c>
      <c r="O182" s="14">
        <v>1542</v>
      </c>
      <c r="P182" s="14">
        <v>2145</v>
      </c>
      <c r="Q182" s="14">
        <v>2316</v>
      </c>
      <c r="R182" s="18"/>
      <c r="S182" s="14" t="s">
        <v>18</v>
      </c>
      <c r="T182" s="14">
        <v>1796</v>
      </c>
      <c r="U182" s="14">
        <v>1924</v>
      </c>
      <c r="V182" s="14">
        <v>2310</v>
      </c>
      <c r="W182" s="14">
        <v>2668</v>
      </c>
      <c r="X182" s="14">
        <v>2976</v>
      </c>
      <c r="Y182" s="21">
        <v>3284</v>
      </c>
    </row>
    <row r="183" spans="2:25">
      <c r="B183" s="17" t="s">
        <v>19</v>
      </c>
      <c r="C183" s="2">
        <v>402640</v>
      </c>
      <c r="D183" s="2">
        <v>464240</v>
      </c>
      <c r="E183" s="9">
        <v>560000</v>
      </c>
      <c r="F183" s="2">
        <v>716800</v>
      </c>
      <c r="G183" s="2">
        <v>798560</v>
      </c>
      <c r="H183" s="10">
        <f t="shared" si="15"/>
        <v>0</v>
      </c>
      <c r="I183" s="14"/>
      <c r="J183" s="14"/>
      <c r="K183" s="14"/>
      <c r="L183" s="14" t="s">
        <v>19</v>
      </c>
      <c r="M183" s="14">
        <v>989</v>
      </c>
      <c r="N183" s="14">
        <v>995</v>
      </c>
      <c r="O183" s="14">
        <v>1306</v>
      </c>
      <c r="P183" s="14">
        <v>1723</v>
      </c>
      <c r="Q183" s="14">
        <v>1729</v>
      </c>
      <c r="R183" s="18"/>
      <c r="S183" s="14" t="s">
        <v>19</v>
      </c>
      <c r="T183" s="14">
        <v>1700</v>
      </c>
      <c r="U183" s="14">
        <v>1820</v>
      </c>
      <c r="V183" s="14">
        <v>2184</v>
      </c>
      <c r="W183" s="14">
        <v>2524</v>
      </c>
      <c r="X183" s="14">
        <v>2816</v>
      </c>
      <c r="Y183" s="21">
        <v>3108</v>
      </c>
    </row>
    <row r="184" spans="2:25">
      <c r="B184" s="17" t="s">
        <v>20</v>
      </c>
      <c r="C184" s="2">
        <v>491221</v>
      </c>
      <c r="D184" s="2">
        <v>566373</v>
      </c>
      <c r="E184" s="9">
        <v>683200</v>
      </c>
      <c r="F184" s="2">
        <v>874496</v>
      </c>
      <c r="G184" s="2">
        <v>974243</v>
      </c>
      <c r="H184" s="10">
        <f t="shared" si="15"/>
        <v>0.21999999999999997</v>
      </c>
      <c r="I184" s="14"/>
      <c r="J184" s="14"/>
      <c r="K184" s="14"/>
      <c r="L184" s="14" t="s">
        <v>20</v>
      </c>
      <c r="M184" s="14">
        <v>2142</v>
      </c>
      <c r="N184" s="14">
        <v>2385</v>
      </c>
      <c r="O184" s="14">
        <v>2912</v>
      </c>
      <c r="P184" s="14">
        <v>3724</v>
      </c>
      <c r="Q184" s="14">
        <v>4413</v>
      </c>
      <c r="R184" s="18"/>
      <c r="S184" s="14" t="s">
        <v>20</v>
      </c>
      <c r="T184" s="14">
        <v>2970</v>
      </c>
      <c r="U184" s="14">
        <v>3182</v>
      </c>
      <c r="V184" s="14">
        <v>3820</v>
      </c>
      <c r="W184" s="14">
        <v>4412</v>
      </c>
      <c r="X184" s="14">
        <v>4922</v>
      </c>
      <c r="Y184" s="21">
        <v>5432</v>
      </c>
    </row>
    <row r="185" spans="2:25">
      <c r="B185" s="17" t="s">
        <v>21</v>
      </c>
      <c r="C185" s="2">
        <v>402640</v>
      </c>
      <c r="D185" s="2">
        <v>464240</v>
      </c>
      <c r="E185" s="9">
        <v>560000</v>
      </c>
      <c r="F185" s="2">
        <v>716800</v>
      </c>
      <c r="G185" s="2">
        <v>798560</v>
      </c>
      <c r="H185" s="10">
        <f t="shared" si="15"/>
        <v>0</v>
      </c>
      <c r="I185" s="14"/>
      <c r="J185" s="14"/>
      <c r="K185" s="14"/>
      <c r="L185" s="14" t="s">
        <v>21</v>
      </c>
      <c r="M185" s="14">
        <v>957</v>
      </c>
      <c r="N185" s="14">
        <v>1222</v>
      </c>
      <c r="O185" s="14">
        <v>1370</v>
      </c>
      <c r="P185" s="14">
        <v>1905</v>
      </c>
      <c r="Q185" s="14">
        <v>2277</v>
      </c>
      <c r="R185" s="18"/>
      <c r="S185" s="14" t="s">
        <v>21</v>
      </c>
      <c r="T185" s="14">
        <v>1700</v>
      </c>
      <c r="U185" s="14">
        <v>1820</v>
      </c>
      <c r="V185" s="14">
        <v>2184</v>
      </c>
      <c r="W185" s="14">
        <v>2524</v>
      </c>
      <c r="X185" s="14">
        <v>2816</v>
      </c>
      <c r="Y185" s="21">
        <v>3108</v>
      </c>
    </row>
    <row r="186" spans="2:25">
      <c r="B186" s="17" t="s">
        <v>22</v>
      </c>
      <c r="C186" s="2">
        <v>360075</v>
      </c>
      <c r="D186" s="2">
        <v>415163</v>
      </c>
      <c r="E186" s="9">
        <v>500800</v>
      </c>
      <c r="F186" s="2">
        <v>641024</v>
      </c>
      <c r="G186" s="2">
        <v>714141</v>
      </c>
      <c r="H186" s="10">
        <f t="shared" si="15"/>
        <v>-0.10571428571428576</v>
      </c>
      <c r="I186" s="14"/>
      <c r="J186" s="14"/>
      <c r="K186" s="14"/>
      <c r="L186" s="14" t="s">
        <v>22</v>
      </c>
      <c r="M186" s="14">
        <v>1748</v>
      </c>
      <c r="N186" s="14">
        <v>1832</v>
      </c>
      <c r="O186" s="14">
        <v>2255</v>
      </c>
      <c r="P186" s="14">
        <v>3002</v>
      </c>
      <c r="Q186" s="14">
        <v>3460</v>
      </c>
      <c r="R186" s="18"/>
      <c r="S186" s="14" t="s">
        <v>22</v>
      </c>
      <c r="T186" s="14">
        <v>2300</v>
      </c>
      <c r="U186" s="14">
        <v>2464</v>
      </c>
      <c r="V186" s="14">
        <v>2956</v>
      </c>
      <c r="W186" s="14">
        <v>3416</v>
      </c>
      <c r="X186" s="14">
        <v>3812</v>
      </c>
      <c r="Y186" s="21">
        <v>4206</v>
      </c>
    </row>
    <row r="187" spans="2:25">
      <c r="B187" s="17" t="s">
        <v>23</v>
      </c>
      <c r="C187" s="2">
        <v>323262</v>
      </c>
      <c r="D187" s="2">
        <v>372718</v>
      </c>
      <c r="E187" s="9">
        <v>449600</v>
      </c>
      <c r="F187" s="2">
        <v>575488</v>
      </c>
      <c r="G187" s="2">
        <v>641130</v>
      </c>
      <c r="H187" s="10">
        <f t="shared" si="15"/>
        <v>-0.19714285714285718</v>
      </c>
      <c r="I187" s="14"/>
      <c r="J187" s="14"/>
      <c r="K187" s="14"/>
      <c r="L187" s="14" t="s">
        <v>23</v>
      </c>
      <c r="M187" s="14">
        <v>1347</v>
      </c>
      <c r="N187" s="14">
        <v>1355</v>
      </c>
      <c r="O187" s="14">
        <v>1664</v>
      </c>
      <c r="P187" s="14">
        <v>2314</v>
      </c>
      <c r="Q187" s="14">
        <v>2660</v>
      </c>
      <c r="R187" s="18"/>
      <c r="S187" s="14" t="s">
        <v>23</v>
      </c>
      <c r="T187" s="14">
        <v>1700</v>
      </c>
      <c r="U187" s="14">
        <v>1820</v>
      </c>
      <c r="V187" s="14">
        <v>2184</v>
      </c>
      <c r="W187" s="14">
        <v>2524</v>
      </c>
      <c r="X187" s="14">
        <v>2816</v>
      </c>
      <c r="Y187" s="21">
        <v>3108</v>
      </c>
    </row>
    <row r="188" spans="2:25">
      <c r="B188" s="17" t="s">
        <v>24</v>
      </c>
      <c r="C188" s="2">
        <v>402640</v>
      </c>
      <c r="D188" s="2">
        <v>464240</v>
      </c>
      <c r="E188" s="9">
        <v>560000</v>
      </c>
      <c r="F188" s="2">
        <v>716800</v>
      </c>
      <c r="G188" s="2">
        <v>798560</v>
      </c>
      <c r="H188" s="10">
        <f t="shared" si="15"/>
        <v>0</v>
      </c>
      <c r="I188" s="14"/>
      <c r="J188" s="14"/>
      <c r="K188" s="14"/>
      <c r="L188" s="14" t="s">
        <v>24</v>
      </c>
      <c r="M188" s="14">
        <v>939</v>
      </c>
      <c r="N188" s="14">
        <v>1038</v>
      </c>
      <c r="O188" s="14">
        <v>1362</v>
      </c>
      <c r="P188" s="14">
        <v>1807</v>
      </c>
      <c r="Q188" s="14">
        <v>2179</v>
      </c>
      <c r="R188" s="18"/>
      <c r="S188" s="14" t="s">
        <v>24</v>
      </c>
      <c r="T188" s="14">
        <v>1700</v>
      </c>
      <c r="U188" s="14">
        <v>1820</v>
      </c>
      <c r="V188" s="14">
        <v>2184</v>
      </c>
      <c r="W188" s="14">
        <v>2524</v>
      </c>
      <c r="X188" s="14">
        <v>2816</v>
      </c>
      <c r="Y188" s="21">
        <v>3108</v>
      </c>
    </row>
    <row r="189" spans="2:25">
      <c r="B189" s="17" t="s">
        <v>25</v>
      </c>
      <c r="C189" s="2">
        <v>402640</v>
      </c>
      <c r="D189" s="2">
        <v>464240</v>
      </c>
      <c r="E189" s="9">
        <v>560000</v>
      </c>
      <c r="F189" s="2">
        <v>716800</v>
      </c>
      <c r="G189" s="2">
        <v>798560</v>
      </c>
      <c r="H189" s="10">
        <f t="shared" si="15"/>
        <v>0</v>
      </c>
      <c r="I189" s="14"/>
      <c r="J189" s="14"/>
      <c r="K189" s="14"/>
      <c r="L189" s="14" t="s">
        <v>25</v>
      </c>
      <c r="M189" s="14">
        <v>1112</v>
      </c>
      <c r="N189" s="14">
        <v>1186</v>
      </c>
      <c r="O189" s="14">
        <v>1550</v>
      </c>
      <c r="P189" s="14">
        <v>2156</v>
      </c>
      <c r="Q189" s="14">
        <v>2600</v>
      </c>
      <c r="R189" s="18"/>
      <c r="S189" s="14" t="s">
        <v>25</v>
      </c>
      <c r="T189" s="14">
        <v>1700</v>
      </c>
      <c r="U189" s="14">
        <v>1820</v>
      </c>
      <c r="V189" s="14">
        <v>2184</v>
      </c>
      <c r="W189" s="14">
        <v>2524</v>
      </c>
      <c r="X189" s="14">
        <v>2816</v>
      </c>
      <c r="Y189" s="21">
        <v>3108</v>
      </c>
    </row>
    <row r="190" spans="2:25">
      <c r="B190" s="17" t="s">
        <v>26</v>
      </c>
      <c r="C190" s="2">
        <v>381933</v>
      </c>
      <c r="D190" s="2">
        <v>440365</v>
      </c>
      <c r="E190" s="9">
        <v>531200</v>
      </c>
      <c r="F190" s="2">
        <v>679936</v>
      </c>
      <c r="G190" s="2">
        <v>757491</v>
      </c>
      <c r="H190" s="10">
        <f t="shared" si="15"/>
        <v>-5.1428571428571379E-2</v>
      </c>
      <c r="I190" s="14"/>
      <c r="J190" s="14"/>
      <c r="K190" s="14"/>
      <c r="L190" s="14" t="s">
        <v>26</v>
      </c>
      <c r="M190" s="14">
        <v>939</v>
      </c>
      <c r="N190" s="14">
        <v>1038</v>
      </c>
      <c r="O190" s="14">
        <v>1362</v>
      </c>
      <c r="P190" s="14">
        <v>1845</v>
      </c>
      <c r="Q190" s="14">
        <v>2285</v>
      </c>
      <c r="R190" s="18"/>
      <c r="S190" s="14" t="s">
        <v>26</v>
      </c>
      <c r="T190" s="14">
        <v>1700</v>
      </c>
      <c r="U190" s="14">
        <v>1820</v>
      </c>
      <c r="V190" s="14">
        <v>2184</v>
      </c>
      <c r="W190" s="14">
        <v>2524</v>
      </c>
      <c r="X190" s="14">
        <v>2816</v>
      </c>
      <c r="Y190" s="21">
        <v>3108</v>
      </c>
    </row>
    <row r="191" spans="2:25">
      <c r="B191" s="17" t="s">
        <v>27</v>
      </c>
      <c r="C191" s="2">
        <v>402640</v>
      </c>
      <c r="D191" s="2">
        <v>464240</v>
      </c>
      <c r="E191" s="9">
        <v>560000</v>
      </c>
      <c r="F191" s="2">
        <v>716800</v>
      </c>
      <c r="G191" s="2">
        <v>798560</v>
      </c>
      <c r="H191" s="10">
        <f t="shared" si="15"/>
        <v>0</v>
      </c>
      <c r="I191" s="14"/>
      <c r="J191" s="14"/>
      <c r="K191" s="14"/>
      <c r="L191" s="14" t="s">
        <v>27</v>
      </c>
      <c r="M191" s="14">
        <v>1058</v>
      </c>
      <c r="N191" s="14">
        <v>1381</v>
      </c>
      <c r="O191" s="14">
        <v>1514</v>
      </c>
      <c r="P191" s="14">
        <v>1940</v>
      </c>
      <c r="Q191" s="14">
        <v>2540</v>
      </c>
      <c r="R191" s="18"/>
      <c r="S191" s="14" t="s">
        <v>27</v>
      </c>
      <c r="T191" s="14">
        <v>1700</v>
      </c>
      <c r="U191" s="14">
        <v>1820</v>
      </c>
      <c r="V191" s="14">
        <v>2184</v>
      </c>
      <c r="W191" s="14">
        <v>2524</v>
      </c>
      <c r="X191" s="14">
        <v>2816</v>
      </c>
      <c r="Y191" s="21">
        <v>3108</v>
      </c>
    </row>
    <row r="192" spans="2:25">
      <c r="B192" s="17" t="s">
        <v>28</v>
      </c>
      <c r="C192" s="2">
        <v>323262</v>
      </c>
      <c r="D192" s="2">
        <v>372718</v>
      </c>
      <c r="E192" s="9">
        <v>449600</v>
      </c>
      <c r="F192" s="2">
        <v>575488</v>
      </c>
      <c r="G192" s="2">
        <v>641130</v>
      </c>
      <c r="H192" s="10">
        <f t="shared" si="15"/>
        <v>-0.19714285714285718</v>
      </c>
      <c r="I192" s="14"/>
      <c r="J192" s="14"/>
      <c r="K192" s="14"/>
      <c r="L192" s="14" t="s">
        <v>28</v>
      </c>
      <c r="M192" s="14">
        <v>1132</v>
      </c>
      <c r="N192" s="14">
        <v>1140</v>
      </c>
      <c r="O192" s="14">
        <v>1483</v>
      </c>
      <c r="P192" s="14">
        <v>2062</v>
      </c>
      <c r="Q192" s="14">
        <v>2488</v>
      </c>
      <c r="R192" s="18"/>
      <c r="S192" s="14" t="s">
        <v>28</v>
      </c>
      <c r="T192" s="14">
        <v>1700</v>
      </c>
      <c r="U192" s="14">
        <v>1820</v>
      </c>
      <c r="V192" s="14">
        <v>2184</v>
      </c>
      <c r="W192" s="14">
        <v>2524</v>
      </c>
      <c r="X192" s="14">
        <v>2816</v>
      </c>
      <c r="Y192" s="21">
        <v>3108</v>
      </c>
    </row>
    <row r="193" spans="2:25">
      <c r="B193" s="17" t="s">
        <v>29</v>
      </c>
      <c r="C193" s="2">
        <v>323262</v>
      </c>
      <c r="D193" s="2">
        <v>372718</v>
      </c>
      <c r="E193" s="9">
        <v>449600</v>
      </c>
      <c r="F193" s="2">
        <v>575488</v>
      </c>
      <c r="G193" s="2">
        <v>641130</v>
      </c>
      <c r="H193" s="10">
        <f t="shared" si="15"/>
        <v>-0.19714285714285718</v>
      </c>
      <c r="I193" s="14"/>
      <c r="J193" s="14"/>
      <c r="K193" s="14"/>
      <c r="L193" s="14" t="s">
        <v>29</v>
      </c>
      <c r="M193" s="14">
        <v>1150</v>
      </c>
      <c r="N193" s="14">
        <v>1157</v>
      </c>
      <c r="O193" s="14">
        <v>1469</v>
      </c>
      <c r="P193" s="14">
        <v>2043</v>
      </c>
      <c r="Q193" s="14">
        <v>2451</v>
      </c>
      <c r="R193" s="18"/>
      <c r="S193" s="14" t="s">
        <v>29</v>
      </c>
      <c r="T193" s="14">
        <v>1700</v>
      </c>
      <c r="U193" s="14">
        <v>1820</v>
      </c>
      <c r="V193" s="14">
        <v>2184</v>
      </c>
      <c r="W193" s="14">
        <v>2524</v>
      </c>
      <c r="X193" s="14">
        <v>2816</v>
      </c>
      <c r="Y193" s="21">
        <v>3108</v>
      </c>
    </row>
    <row r="194" spans="2:25">
      <c r="B194" s="17" t="s">
        <v>30</v>
      </c>
      <c r="C194" s="2">
        <v>402640</v>
      </c>
      <c r="D194" s="2">
        <v>464240</v>
      </c>
      <c r="E194" s="9">
        <v>560000</v>
      </c>
      <c r="F194" s="2">
        <v>716800</v>
      </c>
      <c r="G194" s="2">
        <v>798560</v>
      </c>
      <c r="H194" s="10">
        <f t="shared" si="15"/>
        <v>0</v>
      </c>
      <c r="I194" s="14"/>
      <c r="J194" s="14"/>
      <c r="K194" s="14"/>
      <c r="L194" s="14" t="s">
        <v>30</v>
      </c>
      <c r="M194" s="14">
        <v>1173</v>
      </c>
      <c r="N194" s="14">
        <v>1181</v>
      </c>
      <c r="O194" s="14">
        <v>1549</v>
      </c>
      <c r="P194" s="14">
        <v>2154</v>
      </c>
      <c r="Q194" s="14">
        <v>2599</v>
      </c>
      <c r="R194" s="18"/>
      <c r="S194" s="14" t="s">
        <v>30</v>
      </c>
      <c r="T194" s="14">
        <v>1700</v>
      </c>
      <c r="U194" s="14">
        <v>1820</v>
      </c>
      <c r="V194" s="14">
        <v>2184</v>
      </c>
      <c r="W194" s="14">
        <v>2524</v>
      </c>
      <c r="X194" s="14">
        <v>2816</v>
      </c>
      <c r="Y194" s="21">
        <v>3108</v>
      </c>
    </row>
    <row r="195" spans="2:25">
      <c r="B195" s="17" t="s">
        <v>31</v>
      </c>
      <c r="C195" s="2">
        <v>402640</v>
      </c>
      <c r="D195" s="2">
        <v>464240</v>
      </c>
      <c r="E195" s="9">
        <v>560000</v>
      </c>
      <c r="F195" s="2">
        <v>716800</v>
      </c>
      <c r="G195" s="2">
        <v>798560</v>
      </c>
      <c r="H195" s="10">
        <f t="shared" si="15"/>
        <v>0</v>
      </c>
      <c r="I195" s="14"/>
      <c r="J195" s="14"/>
      <c r="K195" s="14"/>
      <c r="L195" s="14" t="s">
        <v>31</v>
      </c>
      <c r="M195" s="14">
        <v>882</v>
      </c>
      <c r="N195" s="14">
        <v>1016</v>
      </c>
      <c r="O195" s="14">
        <v>1279</v>
      </c>
      <c r="P195" s="14">
        <v>1779</v>
      </c>
      <c r="Q195" s="14">
        <v>2146</v>
      </c>
      <c r="R195" s="18"/>
      <c r="S195" s="14" t="s">
        <v>31</v>
      </c>
      <c r="T195" s="14">
        <v>1700</v>
      </c>
      <c r="U195" s="14">
        <v>1820</v>
      </c>
      <c r="V195" s="14">
        <v>2184</v>
      </c>
      <c r="W195" s="14">
        <v>2524</v>
      </c>
      <c r="X195" s="14">
        <v>2816</v>
      </c>
      <c r="Y195" s="21">
        <v>3108</v>
      </c>
    </row>
    <row r="196" spans="2:25">
      <c r="B196" s="17" t="s">
        <v>32</v>
      </c>
      <c r="C196" s="2">
        <v>437727</v>
      </c>
      <c r="D196" s="2">
        <v>504695</v>
      </c>
      <c r="E196" s="9">
        <v>608800</v>
      </c>
      <c r="F196" s="2">
        <v>779264</v>
      </c>
      <c r="G196" s="2">
        <v>868149</v>
      </c>
      <c r="H196" s="10">
        <f t="shared" si="15"/>
        <v>8.7142857142857189E-2</v>
      </c>
      <c r="I196" s="14"/>
      <c r="J196" s="14"/>
      <c r="K196" s="14"/>
      <c r="L196" s="14" t="s">
        <v>32</v>
      </c>
      <c r="M196" s="14">
        <v>2079</v>
      </c>
      <c r="N196" s="14">
        <v>2328</v>
      </c>
      <c r="O196" s="14">
        <v>2903</v>
      </c>
      <c r="P196" s="14">
        <v>3681</v>
      </c>
      <c r="Q196" s="14">
        <v>4098</v>
      </c>
      <c r="R196" s="18"/>
      <c r="S196" s="14" t="s">
        <v>32</v>
      </c>
      <c r="T196" s="14">
        <v>2914</v>
      </c>
      <c r="U196" s="14">
        <v>3122</v>
      </c>
      <c r="V196" s="14">
        <v>3746</v>
      </c>
      <c r="W196" s="14">
        <v>4330</v>
      </c>
      <c r="X196" s="14">
        <v>4830</v>
      </c>
      <c r="Y196" s="21">
        <v>5330</v>
      </c>
    </row>
    <row r="197" spans="2:25">
      <c r="B197" s="17" t="s">
        <v>33</v>
      </c>
      <c r="C197" s="2">
        <v>323262</v>
      </c>
      <c r="D197" s="2">
        <v>372718</v>
      </c>
      <c r="E197" s="9">
        <v>449600</v>
      </c>
      <c r="F197" s="2">
        <v>575488</v>
      </c>
      <c r="G197" s="2">
        <v>641130</v>
      </c>
      <c r="H197" s="10">
        <f t="shared" si="15"/>
        <v>-0.19714285714285718</v>
      </c>
      <c r="I197" s="14"/>
      <c r="J197" s="14"/>
      <c r="K197" s="14"/>
      <c r="L197" s="14" t="s">
        <v>33</v>
      </c>
      <c r="M197" s="14">
        <v>1055</v>
      </c>
      <c r="N197" s="14">
        <v>1062</v>
      </c>
      <c r="O197" s="14">
        <v>1376</v>
      </c>
      <c r="P197" s="14">
        <v>1914</v>
      </c>
      <c r="Q197" s="14">
        <v>2275</v>
      </c>
      <c r="R197" s="18"/>
      <c r="S197" s="14" t="s">
        <v>33</v>
      </c>
      <c r="T197" s="14">
        <v>1700</v>
      </c>
      <c r="U197" s="14">
        <v>1820</v>
      </c>
      <c r="V197" s="14">
        <v>2184</v>
      </c>
      <c r="W197" s="14">
        <v>2524</v>
      </c>
      <c r="X197" s="14">
        <v>2816</v>
      </c>
      <c r="Y197" s="21">
        <v>3108</v>
      </c>
    </row>
    <row r="198" spans="2:25">
      <c r="B198" s="17" t="s">
        <v>34</v>
      </c>
      <c r="C198" s="2">
        <v>406666</v>
      </c>
      <c r="D198" s="2">
        <v>468882</v>
      </c>
      <c r="E198" s="9">
        <v>565600</v>
      </c>
      <c r="F198" s="2">
        <v>723968</v>
      </c>
      <c r="G198" s="2">
        <v>806546</v>
      </c>
      <c r="H198" s="10">
        <f t="shared" si="15"/>
        <v>1.0000000000000009E-2</v>
      </c>
      <c r="I198" s="14"/>
      <c r="J198" s="14"/>
      <c r="K198" s="14"/>
      <c r="L198" s="14" t="s">
        <v>34</v>
      </c>
      <c r="M198" s="14">
        <v>2485</v>
      </c>
      <c r="N198" s="14">
        <v>2977</v>
      </c>
      <c r="O198" s="14">
        <v>3604</v>
      </c>
      <c r="P198" s="14">
        <v>4604</v>
      </c>
      <c r="Q198" s="14">
        <v>4772</v>
      </c>
      <c r="R198" s="18"/>
      <c r="S198" s="14" t="s">
        <v>34</v>
      </c>
      <c r="T198" s="14">
        <v>3676</v>
      </c>
      <c r="U198" s="14">
        <v>3940</v>
      </c>
      <c r="V198" s="14">
        <v>4726</v>
      </c>
      <c r="W198" s="14">
        <v>5462</v>
      </c>
      <c r="X198" s="14">
        <v>6094</v>
      </c>
      <c r="Y198" s="21">
        <v>6724</v>
      </c>
    </row>
    <row r="199" spans="2:25">
      <c r="B199" s="17" t="s">
        <v>35</v>
      </c>
      <c r="C199" s="2">
        <v>402640</v>
      </c>
      <c r="D199" s="2">
        <v>464240</v>
      </c>
      <c r="E199" s="9">
        <v>560000</v>
      </c>
      <c r="F199" s="2">
        <v>716800</v>
      </c>
      <c r="G199" s="2">
        <v>798560</v>
      </c>
      <c r="H199" s="10">
        <f t="shared" si="15"/>
        <v>0</v>
      </c>
      <c r="I199" s="14"/>
      <c r="J199" s="14"/>
      <c r="K199" s="14"/>
      <c r="L199" s="14" t="s">
        <v>35</v>
      </c>
      <c r="M199" s="14">
        <v>1016</v>
      </c>
      <c r="N199" s="14">
        <v>1148</v>
      </c>
      <c r="O199" s="14">
        <v>1454</v>
      </c>
      <c r="P199" s="14">
        <v>2022</v>
      </c>
      <c r="Q199" s="14">
        <v>2439</v>
      </c>
      <c r="R199" s="18"/>
      <c r="S199" s="14" t="s">
        <v>35</v>
      </c>
      <c r="T199" s="14">
        <v>1700</v>
      </c>
      <c r="U199" s="14">
        <v>1820</v>
      </c>
      <c r="V199" s="14">
        <v>2184</v>
      </c>
      <c r="W199" s="14">
        <v>2524</v>
      </c>
      <c r="X199" s="14">
        <v>2816</v>
      </c>
      <c r="Y199" s="21">
        <v>3108</v>
      </c>
    </row>
    <row r="200" spans="2:25">
      <c r="B200" s="17" t="s">
        <v>36</v>
      </c>
      <c r="C200" s="2">
        <v>402640</v>
      </c>
      <c r="D200" s="2">
        <v>464240</v>
      </c>
      <c r="E200" s="9">
        <v>560000</v>
      </c>
      <c r="F200" s="2">
        <v>716800</v>
      </c>
      <c r="G200" s="2">
        <v>798560</v>
      </c>
      <c r="H200" s="10">
        <f t="shared" si="15"/>
        <v>0</v>
      </c>
      <c r="I200" s="14"/>
      <c r="J200" s="14"/>
      <c r="K200" s="14"/>
      <c r="L200" s="14" t="s">
        <v>36</v>
      </c>
      <c r="M200" s="14">
        <v>1269</v>
      </c>
      <c r="N200" s="14">
        <v>1306</v>
      </c>
      <c r="O200" s="14">
        <v>1713</v>
      </c>
      <c r="P200" s="14">
        <v>2382</v>
      </c>
      <c r="Q200" s="14">
        <v>2789</v>
      </c>
      <c r="R200" s="18"/>
      <c r="S200" s="14" t="s">
        <v>36</v>
      </c>
      <c r="T200" s="14">
        <v>1746</v>
      </c>
      <c r="U200" s="14">
        <v>1872</v>
      </c>
      <c r="V200" s="14">
        <v>2246</v>
      </c>
      <c r="W200" s="14">
        <v>2594</v>
      </c>
      <c r="X200" s="14">
        <v>2894</v>
      </c>
      <c r="Y200" s="21">
        <v>3194</v>
      </c>
    </row>
    <row r="201" spans="2:25">
      <c r="B201" s="17" t="s">
        <v>37</v>
      </c>
      <c r="C201" s="2">
        <v>323262</v>
      </c>
      <c r="D201" s="2">
        <v>372718</v>
      </c>
      <c r="E201" s="9">
        <v>449600</v>
      </c>
      <c r="F201" s="2">
        <v>575488</v>
      </c>
      <c r="G201" s="2">
        <v>641130</v>
      </c>
      <c r="H201" s="10">
        <f t="shared" si="15"/>
        <v>-0.19714285714285718</v>
      </c>
      <c r="I201" s="14"/>
      <c r="J201" s="14"/>
      <c r="K201" s="14"/>
      <c r="L201" s="14" t="s">
        <v>37</v>
      </c>
      <c r="M201" s="14">
        <v>1116</v>
      </c>
      <c r="N201" s="14">
        <v>1213</v>
      </c>
      <c r="O201" s="14">
        <v>1503</v>
      </c>
      <c r="P201" s="14">
        <v>2067</v>
      </c>
      <c r="Q201" s="14">
        <v>2503</v>
      </c>
      <c r="R201" s="18"/>
      <c r="S201" s="14" t="s">
        <v>37</v>
      </c>
      <c r="T201" s="14">
        <v>1700</v>
      </c>
      <c r="U201" s="14">
        <v>1820</v>
      </c>
      <c r="V201" s="14">
        <v>2184</v>
      </c>
      <c r="W201" s="14">
        <v>2524</v>
      </c>
      <c r="X201" s="14">
        <v>2816</v>
      </c>
      <c r="Y201" s="21">
        <v>3108</v>
      </c>
    </row>
    <row r="202" spans="2:25">
      <c r="B202" s="17" t="s">
        <v>38</v>
      </c>
      <c r="C202" s="2">
        <v>402640</v>
      </c>
      <c r="D202" s="2">
        <v>464240</v>
      </c>
      <c r="E202" s="9">
        <v>560000</v>
      </c>
      <c r="F202" s="2">
        <v>716800</v>
      </c>
      <c r="G202" s="2">
        <v>798560</v>
      </c>
      <c r="H202" s="10">
        <f t="shared" si="15"/>
        <v>0</v>
      </c>
      <c r="I202" s="14"/>
      <c r="J202" s="14"/>
      <c r="K202" s="14"/>
      <c r="L202" s="14" t="s">
        <v>38</v>
      </c>
      <c r="M202" s="14">
        <v>774</v>
      </c>
      <c r="N202" s="14">
        <v>883</v>
      </c>
      <c r="O202" s="14">
        <v>1108</v>
      </c>
      <c r="P202" s="14">
        <v>1434</v>
      </c>
      <c r="Q202" s="14">
        <v>1831</v>
      </c>
      <c r="R202" s="18"/>
      <c r="S202" s="14" t="s">
        <v>38</v>
      </c>
      <c r="T202" s="14">
        <v>1700</v>
      </c>
      <c r="U202" s="14">
        <v>1820</v>
      </c>
      <c r="V202" s="14">
        <v>2184</v>
      </c>
      <c r="W202" s="14">
        <v>2524</v>
      </c>
      <c r="X202" s="14">
        <v>2816</v>
      </c>
      <c r="Y202" s="21">
        <v>3108</v>
      </c>
    </row>
    <row r="203" spans="2:25">
      <c r="B203" s="17" t="s">
        <v>39</v>
      </c>
      <c r="C203" s="2">
        <v>402640</v>
      </c>
      <c r="D203" s="2">
        <v>464240</v>
      </c>
      <c r="E203" s="9">
        <v>560000</v>
      </c>
      <c r="F203" s="2">
        <v>716800</v>
      </c>
      <c r="G203" s="2">
        <v>798560</v>
      </c>
      <c r="H203" s="10">
        <f t="shared" si="15"/>
        <v>0</v>
      </c>
      <c r="I203" s="14"/>
      <c r="J203" s="14"/>
      <c r="K203" s="14"/>
      <c r="L203" s="14" t="s">
        <v>39</v>
      </c>
      <c r="M203" s="14">
        <v>1171</v>
      </c>
      <c r="N203" s="14">
        <v>1528</v>
      </c>
      <c r="O203" s="14">
        <v>1675</v>
      </c>
      <c r="P203" s="14">
        <v>2330</v>
      </c>
      <c r="Q203" s="14">
        <v>2769</v>
      </c>
      <c r="R203" s="18"/>
      <c r="S203" s="14" t="s">
        <v>39</v>
      </c>
      <c r="T203" s="14">
        <v>1962</v>
      </c>
      <c r="U203" s="14">
        <v>2102</v>
      </c>
      <c r="V203" s="14">
        <v>2522</v>
      </c>
      <c r="W203" s="14">
        <v>2918</v>
      </c>
      <c r="X203" s="14">
        <v>3254</v>
      </c>
      <c r="Y203" s="21">
        <v>3590</v>
      </c>
    </row>
    <row r="204" spans="2:25">
      <c r="B204" s="17" t="s">
        <v>40</v>
      </c>
      <c r="C204" s="2">
        <v>442904</v>
      </c>
      <c r="D204" s="2">
        <v>510664</v>
      </c>
      <c r="E204" s="9">
        <v>616000</v>
      </c>
      <c r="F204" s="2">
        <v>788480</v>
      </c>
      <c r="G204" s="2">
        <v>878416</v>
      </c>
      <c r="H204" s="10">
        <f t="shared" si="15"/>
        <v>0.10000000000000009</v>
      </c>
      <c r="I204" s="14"/>
      <c r="J204" s="14"/>
      <c r="K204" s="14"/>
      <c r="L204" s="14" t="s">
        <v>40</v>
      </c>
      <c r="M204" s="14">
        <v>2173</v>
      </c>
      <c r="N204" s="14">
        <v>2232</v>
      </c>
      <c r="O204" s="14">
        <v>2684</v>
      </c>
      <c r="P204" s="14">
        <v>3623</v>
      </c>
      <c r="Q204" s="14">
        <v>3945</v>
      </c>
      <c r="R204" s="18"/>
      <c r="S204" s="14" t="s">
        <v>40</v>
      </c>
      <c r="T204" s="14">
        <v>2736</v>
      </c>
      <c r="U204" s="14">
        <v>2932</v>
      </c>
      <c r="V204" s="14">
        <v>3520</v>
      </c>
      <c r="W204" s="14">
        <v>4066</v>
      </c>
      <c r="X204" s="14">
        <v>4536</v>
      </c>
      <c r="Y204" s="21">
        <v>5006</v>
      </c>
    </row>
    <row r="205" spans="2:25">
      <c r="B205" s="17" t="s">
        <v>41</v>
      </c>
      <c r="C205" s="2">
        <v>406666</v>
      </c>
      <c r="D205" s="2">
        <v>468882</v>
      </c>
      <c r="E205" s="9">
        <v>565600</v>
      </c>
      <c r="F205" s="2">
        <v>723968</v>
      </c>
      <c r="G205" s="2">
        <v>806546</v>
      </c>
      <c r="H205" s="10">
        <f t="shared" si="15"/>
        <v>1.0000000000000009E-2</v>
      </c>
      <c r="I205" s="14"/>
      <c r="J205" s="14"/>
      <c r="K205" s="14"/>
      <c r="L205" s="14" t="s">
        <v>41</v>
      </c>
      <c r="M205" s="14">
        <v>2286</v>
      </c>
      <c r="N205" s="14">
        <v>2526</v>
      </c>
      <c r="O205" s="14">
        <v>3315</v>
      </c>
      <c r="P205" s="14">
        <v>4222</v>
      </c>
      <c r="Q205" s="14">
        <v>4942</v>
      </c>
      <c r="R205" s="18"/>
      <c r="S205" s="14" t="s">
        <v>41</v>
      </c>
      <c r="T205" s="14">
        <v>3084</v>
      </c>
      <c r="U205" s="14">
        <v>3304</v>
      </c>
      <c r="V205" s="14">
        <v>3966</v>
      </c>
      <c r="W205" s="14">
        <v>4584</v>
      </c>
      <c r="X205" s="14">
        <v>5114</v>
      </c>
      <c r="Y205" s="21">
        <v>5640</v>
      </c>
    </row>
    <row r="206" spans="2:25">
      <c r="B206" s="17" t="s">
        <v>42</v>
      </c>
      <c r="C206" s="2">
        <v>402640</v>
      </c>
      <c r="D206" s="2">
        <v>464240</v>
      </c>
      <c r="E206" s="9">
        <v>560000</v>
      </c>
      <c r="F206" s="2">
        <v>716800</v>
      </c>
      <c r="G206" s="2">
        <v>798560</v>
      </c>
      <c r="H206" s="10">
        <f t="shared" si="15"/>
        <v>0</v>
      </c>
      <c r="I206" s="14"/>
      <c r="J206" s="14"/>
      <c r="K206" s="14"/>
      <c r="L206" s="14" t="s">
        <v>42</v>
      </c>
      <c r="M206" s="14">
        <v>1373</v>
      </c>
      <c r="N206" s="14">
        <v>1382</v>
      </c>
      <c r="O206" s="14">
        <v>1813</v>
      </c>
      <c r="P206" s="14">
        <v>2521</v>
      </c>
      <c r="Q206" s="14">
        <v>3041</v>
      </c>
      <c r="R206" s="18"/>
      <c r="S206" s="14" t="s">
        <v>42</v>
      </c>
      <c r="T206" s="14">
        <v>2190</v>
      </c>
      <c r="U206" s="14">
        <v>2346</v>
      </c>
      <c r="V206" s="14">
        <v>2814</v>
      </c>
      <c r="W206" s="14">
        <v>3252</v>
      </c>
      <c r="X206" s="14">
        <v>3630</v>
      </c>
      <c r="Y206" s="21">
        <v>4004</v>
      </c>
    </row>
    <row r="207" spans="2:25">
      <c r="B207" s="17" t="s">
        <v>43</v>
      </c>
      <c r="C207" s="2">
        <v>402065</v>
      </c>
      <c r="D207" s="2">
        <v>463577</v>
      </c>
      <c r="E207" s="9">
        <v>559200</v>
      </c>
      <c r="F207" s="2">
        <v>715776</v>
      </c>
      <c r="G207" s="2">
        <v>797419</v>
      </c>
      <c r="H207" s="10">
        <f t="shared" si="15"/>
        <v>-1.4285714285714457E-3</v>
      </c>
      <c r="I207" s="14"/>
      <c r="J207" s="14"/>
      <c r="K207" s="14"/>
      <c r="L207" s="14" t="s">
        <v>43</v>
      </c>
      <c r="M207" s="14">
        <v>2682</v>
      </c>
      <c r="N207" s="14">
        <v>2746</v>
      </c>
      <c r="O207" s="14">
        <v>3236</v>
      </c>
      <c r="P207" s="14">
        <v>4393</v>
      </c>
      <c r="Q207" s="14">
        <v>5246</v>
      </c>
      <c r="R207" s="18"/>
      <c r="S207" s="14" t="s">
        <v>43</v>
      </c>
      <c r="T207" s="14">
        <v>3256</v>
      </c>
      <c r="U207" s="14">
        <v>3490</v>
      </c>
      <c r="V207" s="14">
        <v>4186</v>
      </c>
      <c r="W207" s="14">
        <v>4838</v>
      </c>
      <c r="X207" s="14">
        <v>5396</v>
      </c>
      <c r="Y207" s="21">
        <v>5956</v>
      </c>
    </row>
    <row r="208" spans="2:25">
      <c r="B208" s="17" t="s">
        <v>44</v>
      </c>
      <c r="C208" s="2">
        <v>360075</v>
      </c>
      <c r="D208" s="2">
        <v>415163</v>
      </c>
      <c r="E208" s="9">
        <v>500800</v>
      </c>
      <c r="F208" s="2">
        <v>641024</v>
      </c>
      <c r="G208" s="2">
        <v>714141</v>
      </c>
      <c r="H208" s="10">
        <f t="shared" si="15"/>
        <v>-0.10571428571428576</v>
      </c>
      <c r="I208" s="14"/>
      <c r="J208" s="14"/>
      <c r="K208" s="14"/>
      <c r="L208" s="14" t="s">
        <v>44</v>
      </c>
      <c r="M208" s="14">
        <v>1748</v>
      </c>
      <c r="N208" s="14">
        <v>1832</v>
      </c>
      <c r="O208" s="14">
        <v>2255</v>
      </c>
      <c r="P208" s="14">
        <v>3002</v>
      </c>
      <c r="Q208" s="14">
        <v>3460</v>
      </c>
      <c r="R208" s="18"/>
      <c r="S208" s="14" t="s">
        <v>44</v>
      </c>
      <c r="T208" s="14">
        <v>2300</v>
      </c>
      <c r="U208" s="14">
        <v>2464</v>
      </c>
      <c r="V208" s="14">
        <v>2956</v>
      </c>
      <c r="W208" s="14">
        <v>3416</v>
      </c>
      <c r="X208" s="14">
        <v>3812</v>
      </c>
      <c r="Y208" s="21">
        <v>4206</v>
      </c>
    </row>
    <row r="209" spans="2:25">
      <c r="B209" s="17" t="s">
        <v>45</v>
      </c>
      <c r="C209" s="2">
        <v>402640</v>
      </c>
      <c r="D209" s="2">
        <v>464240</v>
      </c>
      <c r="E209" s="9">
        <v>560000</v>
      </c>
      <c r="F209" s="2">
        <v>716800</v>
      </c>
      <c r="G209" s="2">
        <v>798560</v>
      </c>
      <c r="H209" s="10">
        <f t="shared" si="15"/>
        <v>0</v>
      </c>
      <c r="I209" s="14"/>
      <c r="J209" s="14"/>
      <c r="K209" s="14"/>
      <c r="L209" s="14" t="s">
        <v>45</v>
      </c>
      <c r="M209" s="14">
        <v>973</v>
      </c>
      <c r="N209" s="14">
        <v>1075</v>
      </c>
      <c r="O209" s="14">
        <v>1411</v>
      </c>
      <c r="P209" s="14">
        <v>1962</v>
      </c>
      <c r="Q209" s="14">
        <v>1995</v>
      </c>
      <c r="R209" s="18"/>
      <c r="S209" s="14" t="s">
        <v>45</v>
      </c>
      <c r="T209" s="14">
        <v>1700</v>
      </c>
      <c r="U209" s="14">
        <v>1820</v>
      </c>
      <c r="V209" s="14">
        <v>2184</v>
      </c>
      <c r="W209" s="14">
        <v>2524</v>
      </c>
      <c r="X209" s="14">
        <v>2816</v>
      </c>
      <c r="Y209" s="21">
        <v>3108</v>
      </c>
    </row>
    <row r="210" spans="2:25">
      <c r="B210" s="17" t="s">
        <v>46</v>
      </c>
      <c r="C210" s="2">
        <v>381933</v>
      </c>
      <c r="D210" s="2">
        <v>440365</v>
      </c>
      <c r="E210" s="9">
        <v>531200</v>
      </c>
      <c r="F210" s="2">
        <v>679936</v>
      </c>
      <c r="G210" s="2">
        <v>757491</v>
      </c>
      <c r="H210" s="10">
        <f t="shared" ref="H210:H235" si="16">E210/$E$173-100%</f>
        <v>-5.1428571428571379E-2</v>
      </c>
      <c r="I210" s="14"/>
      <c r="J210" s="14"/>
      <c r="K210" s="14"/>
      <c r="L210" s="14" t="s">
        <v>46</v>
      </c>
      <c r="M210" s="14">
        <v>1692</v>
      </c>
      <c r="N210" s="14">
        <v>1777</v>
      </c>
      <c r="O210" s="14">
        <v>2201</v>
      </c>
      <c r="P210" s="14">
        <v>2912</v>
      </c>
      <c r="Q210" s="14">
        <v>3514</v>
      </c>
      <c r="R210" s="18"/>
      <c r="S210" s="14" t="s">
        <v>46</v>
      </c>
      <c r="T210" s="14">
        <v>2152</v>
      </c>
      <c r="U210" s="14">
        <v>2306</v>
      </c>
      <c r="V210" s="14">
        <v>2766</v>
      </c>
      <c r="W210" s="14">
        <v>3198</v>
      </c>
      <c r="X210" s="14">
        <v>3566</v>
      </c>
      <c r="Y210" s="21">
        <v>3936</v>
      </c>
    </row>
    <row r="211" spans="2:25">
      <c r="B211" s="17" t="s">
        <v>47</v>
      </c>
      <c r="C211" s="2">
        <v>360075</v>
      </c>
      <c r="D211" s="2">
        <v>415163</v>
      </c>
      <c r="E211" s="9">
        <v>500800</v>
      </c>
      <c r="F211" s="2">
        <v>641024</v>
      </c>
      <c r="G211" s="2">
        <v>714141</v>
      </c>
      <c r="H211" s="10">
        <f t="shared" si="16"/>
        <v>-0.10571428571428576</v>
      </c>
      <c r="I211" s="14"/>
      <c r="J211" s="14"/>
      <c r="K211" s="14"/>
      <c r="L211" s="14" t="s">
        <v>47</v>
      </c>
      <c r="M211" s="14">
        <v>1748</v>
      </c>
      <c r="N211" s="14">
        <v>1832</v>
      </c>
      <c r="O211" s="14">
        <v>2255</v>
      </c>
      <c r="P211" s="14">
        <v>3002</v>
      </c>
      <c r="Q211" s="14">
        <v>3460</v>
      </c>
      <c r="R211" s="18"/>
      <c r="S211" s="14" t="s">
        <v>47</v>
      </c>
      <c r="T211" s="14">
        <v>2300</v>
      </c>
      <c r="U211" s="14">
        <v>2464</v>
      </c>
      <c r="V211" s="14">
        <v>2956</v>
      </c>
      <c r="W211" s="14">
        <v>3416</v>
      </c>
      <c r="X211" s="14">
        <v>3812</v>
      </c>
      <c r="Y211" s="21">
        <v>4206</v>
      </c>
    </row>
    <row r="212" spans="2:25">
      <c r="B212" s="17" t="s">
        <v>48</v>
      </c>
      <c r="C212" s="2">
        <v>402640</v>
      </c>
      <c r="D212" s="2">
        <v>464240</v>
      </c>
      <c r="E212" s="9">
        <v>560000</v>
      </c>
      <c r="F212" s="2">
        <v>716800</v>
      </c>
      <c r="G212" s="2">
        <v>798560</v>
      </c>
      <c r="H212" s="10">
        <f t="shared" si="16"/>
        <v>0</v>
      </c>
      <c r="I212" s="14"/>
      <c r="J212" s="14"/>
      <c r="K212" s="14"/>
      <c r="L212" s="14" t="s">
        <v>48</v>
      </c>
      <c r="M212" s="14">
        <v>2205</v>
      </c>
      <c r="N212" s="14">
        <v>2212</v>
      </c>
      <c r="O212" s="14">
        <v>2902</v>
      </c>
      <c r="P212" s="14">
        <v>3944</v>
      </c>
      <c r="Q212" s="14">
        <v>4190</v>
      </c>
      <c r="R212" s="18"/>
      <c r="S212" s="14" t="s">
        <v>48</v>
      </c>
      <c r="T212" s="14">
        <v>2572</v>
      </c>
      <c r="U212" s="14">
        <v>2754</v>
      </c>
      <c r="V212" s="14">
        <v>3306</v>
      </c>
      <c r="W212" s="14">
        <v>3820</v>
      </c>
      <c r="X212" s="14">
        <v>4262</v>
      </c>
      <c r="Y212" s="21">
        <v>4702</v>
      </c>
    </row>
    <row r="213" spans="2:25">
      <c r="B213" s="17" t="s">
        <v>49</v>
      </c>
      <c r="C213" s="2">
        <v>381933</v>
      </c>
      <c r="D213" s="2">
        <v>440365</v>
      </c>
      <c r="E213" s="9">
        <v>531200</v>
      </c>
      <c r="F213" s="2">
        <v>679936</v>
      </c>
      <c r="G213" s="2">
        <v>757491</v>
      </c>
      <c r="H213" s="10">
        <f t="shared" si="16"/>
        <v>-5.1428571428571379E-2</v>
      </c>
      <c r="I213" s="14"/>
      <c r="J213" s="14"/>
      <c r="K213" s="14"/>
      <c r="L213" s="14" t="s">
        <v>49</v>
      </c>
      <c r="M213" s="14">
        <v>1692</v>
      </c>
      <c r="N213" s="14">
        <v>1777</v>
      </c>
      <c r="O213" s="14">
        <v>2201</v>
      </c>
      <c r="P213" s="14">
        <v>2912</v>
      </c>
      <c r="Q213" s="14">
        <v>3514</v>
      </c>
      <c r="R213" s="18"/>
      <c r="S213" s="14" t="s">
        <v>49</v>
      </c>
      <c r="T213" s="14">
        <v>2152</v>
      </c>
      <c r="U213" s="14">
        <v>2306</v>
      </c>
      <c r="V213" s="14">
        <v>2766</v>
      </c>
      <c r="W213" s="14">
        <v>3198</v>
      </c>
      <c r="X213" s="14">
        <v>3566</v>
      </c>
      <c r="Y213" s="21">
        <v>3936</v>
      </c>
    </row>
    <row r="214" spans="2:25">
      <c r="B214" s="17" t="s">
        <v>50</v>
      </c>
      <c r="C214" s="2">
        <v>392286</v>
      </c>
      <c r="D214" s="2">
        <v>452302</v>
      </c>
      <c r="E214" s="9">
        <v>545600</v>
      </c>
      <c r="F214" s="2">
        <v>698368</v>
      </c>
      <c r="G214" s="2">
        <v>778026</v>
      </c>
      <c r="H214" s="10">
        <f t="shared" si="16"/>
        <v>-2.571428571428569E-2</v>
      </c>
      <c r="I214" s="14"/>
      <c r="J214" s="14"/>
      <c r="K214" s="14"/>
      <c r="L214" s="14" t="s">
        <v>50</v>
      </c>
      <c r="M214" s="14">
        <v>2288</v>
      </c>
      <c r="N214" s="14">
        <v>2459</v>
      </c>
      <c r="O214" s="14">
        <v>3001</v>
      </c>
      <c r="P214" s="14">
        <v>3998</v>
      </c>
      <c r="Q214" s="14">
        <v>4845</v>
      </c>
      <c r="R214" s="18"/>
      <c r="S214" s="14" t="s">
        <v>50</v>
      </c>
      <c r="T214" s="14">
        <v>3062</v>
      </c>
      <c r="U214" s="14">
        <v>3280</v>
      </c>
      <c r="V214" s="14">
        <v>3936</v>
      </c>
      <c r="W214" s="14">
        <v>4546</v>
      </c>
      <c r="X214" s="14">
        <v>5072</v>
      </c>
      <c r="Y214" s="21">
        <v>5596</v>
      </c>
    </row>
    <row r="215" spans="2:25">
      <c r="B215" s="17" t="s">
        <v>51</v>
      </c>
      <c r="C215" s="2">
        <v>694266</v>
      </c>
      <c r="D215" s="2">
        <v>800482</v>
      </c>
      <c r="E215" s="9">
        <v>965600</v>
      </c>
      <c r="F215" s="2">
        <v>1235968</v>
      </c>
      <c r="G215" s="2">
        <v>1376946</v>
      </c>
      <c r="H215" s="10">
        <f t="shared" si="16"/>
        <v>0.7242857142857142</v>
      </c>
      <c r="I215" s="14"/>
      <c r="J215" s="14"/>
      <c r="K215" s="14"/>
      <c r="L215" s="14" t="s">
        <v>51</v>
      </c>
      <c r="M215" s="14">
        <v>2485</v>
      </c>
      <c r="N215" s="14">
        <v>2977</v>
      </c>
      <c r="O215" s="14">
        <v>3604</v>
      </c>
      <c r="P215" s="14">
        <v>4604</v>
      </c>
      <c r="Q215" s="14">
        <v>4772</v>
      </c>
      <c r="R215" s="18"/>
      <c r="S215" s="14" t="s">
        <v>51</v>
      </c>
      <c r="T215" s="14">
        <v>3676</v>
      </c>
      <c r="U215" s="14">
        <v>3940</v>
      </c>
      <c r="V215" s="14">
        <v>4726</v>
      </c>
      <c r="W215" s="14">
        <v>5462</v>
      </c>
      <c r="X215" s="14">
        <v>6094</v>
      </c>
      <c r="Y215" s="21">
        <v>6724</v>
      </c>
    </row>
    <row r="216" spans="2:25">
      <c r="B216" s="17" t="s">
        <v>52</v>
      </c>
      <c r="C216" s="2">
        <v>323262</v>
      </c>
      <c r="D216" s="2">
        <v>372718</v>
      </c>
      <c r="E216" s="9">
        <v>449600</v>
      </c>
      <c r="F216" s="2">
        <v>575488</v>
      </c>
      <c r="G216" s="2">
        <v>641130</v>
      </c>
      <c r="H216" s="10">
        <f t="shared" si="16"/>
        <v>-0.19714285714285718</v>
      </c>
      <c r="I216" s="14"/>
      <c r="J216" s="14"/>
      <c r="K216" s="14"/>
      <c r="L216" s="14" t="s">
        <v>52</v>
      </c>
      <c r="M216" s="14">
        <v>1288</v>
      </c>
      <c r="N216" s="14">
        <v>1395</v>
      </c>
      <c r="O216" s="14">
        <v>1742</v>
      </c>
      <c r="P216" s="14">
        <v>2423</v>
      </c>
      <c r="Q216" s="14">
        <v>2922</v>
      </c>
      <c r="R216" s="18"/>
      <c r="S216" s="14" t="s">
        <v>52</v>
      </c>
      <c r="T216" s="14">
        <v>1892</v>
      </c>
      <c r="U216" s="14">
        <v>2026</v>
      </c>
      <c r="V216" s="14">
        <v>2432</v>
      </c>
      <c r="W216" s="14">
        <v>2810</v>
      </c>
      <c r="X216" s="14">
        <v>3134</v>
      </c>
      <c r="Y216" s="21">
        <v>3460</v>
      </c>
    </row>
    <row r="217" spans="2:25">
      <c r="B217" s="17" t="s">
        <v>53</v>
      </c>
      <c r="C217" s="2">
        <v>442904</v>
      </c>
      <c r="D217" s="2">
        <v>510664</v>
      </c>
      <c r="E217" s="9">
        <v>616000</v>
      </c>
      <c r="F217" s="2">
        <v>788480</v>
      </c>
      <c r="G217" s="2">
        <v>878416</v>
      </c>
      <c r="H217" s="10">
        <f t="shared" si="16"/>
        <v>0.10000000000000009</v>
      </c>
      <c r="I217" s="14"/>
      <c r="J217" s="14"/>
      <c r="K217" s="14"/>
      <c r="L217" s="14" t="s">
        <v>53</v>
      </c>
      <c r="M217" s="14">
        <v>1842</v>
      </c>
      <c r="N217" s="14">
        <v>2036</v>
      </c>
      <c r="O217" s="14">
        <v>2671</v>
      </c>
      <c r="P217" s="14">
        <v>3584</v>
      </c>
      <c r="Q217" s="14">
        <v>4105</v>
      </c>
      <c r="R217" s="18"/>
      <c r="S217" s="14" t="s">
        <v>53</v>
      </c>
      <c r="T217" s="14">
        <v>2674</v>
      </c>
      <c r="U217" s="14">
        <v>2866</v>
      </c>
      <c r="V217" s="14">
        <v>3440</v>
      </c>
      <c r="W217" s="14">
        <v>3974</v>
      </c>
      <c r="X217" s="14">
        <v>4434</v>
      </c>
      <c r="Y217" s="21">
        <v>4892</v>
      </c>
    </row>
    <row r="218" spans="2:25">
      <c r="B218" s="17" t="s">
        <v>54</v>
      </c>
      <c r="C218" s="2">
        <v>532060</v>
      </c>
      <c r="D218" s="2">
        <v>613460</v>
      </c>
      <c r="E218" s="9">
        <v>740000</v>
      </c>
      <c r="F218" s="2">
        <v>947200</v>
      </c>
      <c r="G218" s="2">
        <v>1055240</v>
      </c>
      <c r="H218" s="10">
        <f t="shared" si="16"/>
        <v>0.3214285714285714</v>
      </c>
      <c r="I218" s="14"/>
      <c r="J218" s="14"/>
      <c r="K218" s="14"/>
      <c r="L218" s="14" t="s">
        <v>54</v>
      </c>
      <c r="M218" s="14">
        <v>2485</v>
      </c>
      <c r="N218" s="14">
        <v>2977</v>
      </c>
      <c r="O218" s="14">
        <v>3604</v>
      </c>
      <c r="P218" s="14">
        <v>4604</v>
      </c>
      <c r="Q218" s="14">
        <v>4772</v>
      </c>
      <c r="R218" s="18"/>
      <c r="S218" s="14" t="s">
        <v>54</v>
      </c>
      <c r="T218" s="14">
        <v>3676</v>
      </c>
      <c r="U218" s="14">
        <v>3940</v>
      </c>
      <c r="V218" s="14">
        <v>4726</v>
      </c>
      <c r="W218" s="14">
        <v>5462</v>
      </c>
      <c r="X218" s="14">
        <v>6094</v>
      </c>
      <c r="Y218" s="21">
        <v>6724</v>
      </c>
    </row>
    <row r="219" spans="2:25">
      <c r="B219" s="17" t="s">
        <v>55</v>
      </c>
      <c r="C219" s="2">
        <v>442904</v>
      </c>
      <c r="D219" s="2">
        <v>510664</v>
      </c>
      <c r="E219" s="9">
        <v>616000</v>
      </c>
      <c r="F219" s="2">
        <v>788480</v>
      </c>
      <c r="G219" s="2">
        <v>878416</v>
      </c>
      <c r="H219" s="10">
        <f t="shared" si="16"/>
        <v>0.10000000000000009</v>
      </c>
      <c r="I219" s="14"/>
      <c r="J219" s="14"/>
      <c r="K219" s="14"/>
      <c r="L219" s="14" t="s">
        <v>55</v>
      </c>
      <c r="M219" s="14">
        <v>2459</v>
      </c>
      <c r="N219" s="14">
        <v>2746</v>
      </c>
      <c r="O219" s="14">
        <v>3124</v>
      </c>
      <c r="P219" s="14">
        <v>4075</v>
      </c>
      <c r="Q219" s="14">
        <v>4647</v>
      </c>
      <c r="R219" s="18"/>
      <c r="S219" s="14" t="s">
        <v>55</v>
      </c>
      <c r="T219" s="14">
        <v>3186</v>
      </c>
      <c r="U219" s="14">
        <v>3414</v>
      </c>
      <c r="V219" s="14">
        <v>4096</v>
      </c>
      <c r="W219" s="14">
        <v>4734</v>
      </c>
      <c r="X219" s="14">
        <v>5282</v>
      </c>
      <c r="Y219" s="21">
        <v>5828</v>
      </c>
    </row>
    <row r="220" spans="2:25">
      <c r="B220" s="17" t="s">
        <v>56</v>
      </c>
      <c r="C220" s="2">
        <v>532060</v>
      </c>
      <c r="D220" s="2">
        <v>613460</v>
      </c>
      <c r="E220" s="9">
        <v>740000</v>
      </c>
      <c r="F220" s="2">
        <v>947200</v>
      </c>
      <c r="G220" s="2">
        <v>1055240</v>
      </c>
      <c r="H220" s="10">
        <f t="shared" si="16"/>
        <v>0.3214285714285714</v>
      </c>
      <c r="I220" s="14"/>
      <c r="J220" s="14"/>
      <c r="K220" s="14"/>
      <c r="L220" s="14" t="s">
        <v>56</v>
      </c>
      <c r="M220" s="14">
        <v>2621</v>
      </c>
      <c r="N220" s="14">
        <v>2982</v>
      </c>
      <c r="O220" s="14">
        <v>3483</v>
      </c>
      <c r="P220" s="14">
        <v>4602</v>
      </c>
      <c r="Q220" s="14">
        <v>5010</v>
      </c>
      <c r="R220" s="18"/>
      <c r="S220" s="14" t="s">
        <v>56</v>
      </c>
      <c r="T220" s="14">
        <v>3596</v>
      </c>
      <c r="U220" s="14">
        <v>3852</v>
      </c>
      <c r="V220" s="14">
        <v>4624</v>
      </c>
      <c r="W220" s="14">
        <v>5342</v>
      </c>
      <c r="X220" s="14">
        <v>5960</v>
      </c>
      <c r="Y220" s="21">
        <v>6576</v>
      </c>
    </row>
    <row r="221" spans="2:25">
      <c r="B221" s="17" t="s">
        <v>57</v>
      </c>
      <c r="C221" s="2">
        <v>442904</v>
      </c>
      <c r="D221" s="2">
        <v>510664</v>
      </c>
      <c r="E221" s="9">
        <v>616000</v>
      </c>
      <c r="F221" s="2">
        <v>788480</v>
      </c>
      <c r="G221" s="2">
        <v>878416</v>
      </c>
      <c r="H221" s="10">
        <f t="shared" si="16"/>
        <v>0.10000000000000009</v>
      </c>
      <c r="I221" s="14"/>
      <c r="J221" s="14"/>
      <c r="K221" s="14"/>
      <c r="L221" s="14" t="s">
        <v>57</v>
      </c>
      <c r="M221" s="14">
        <v>3179</v>
      </c>
      <c r="N221" s="14">
        <v>3298</v>
      </c>
      <c r="O221" s="14">
        <v>4214</v>
      </c>
      <c r="P221" s="14">
        <v>5377</v>
      </c>
      <c r="Q221" s="14">
        <v>5659</v>
      </c>
      <c r="R221" s="18"/>
      <c r="S221" s="14" t="s">
        <v>57</v>
      </c>
      <c r="T221" s="14">
        <v>3806</v>
      </c>
      <c r="U221" s="14">
        <v>4078</v>
      </c>
      <c r="V221" s="14">
        <v>4894</v>
      </c>
      <c r="W221" s="14">
        <v>5654</v>
      </c>
      <c r="X221" s="14">
        <v>6306</v>
      </c>
      <c r="Y221" s="21">
        <v>6960</v>
      </c>
    </row>
    <row r="222" spans="2:25">
      <c r="B222" s="17" t="s">
        <v>58</v>
      </c>
      <c r="C222" s="2">
        <v>369278</v>
      </c>
      <c r="D222" s="2">
        <v>425774</v>
      </c>
      <c r="E222" s="9">
        <v>513600</v>
      </c>
      <c r="F222" s="2">
        <v>657408</v>
      </c>
      <c r="G222" s="2">
        <v>732394</v>
      </c>
      <c r="H222" s="10">
        <f t="shared" si="16"/>
        <v>-8.2857142857142851E-2</v>
      </c>
      <c r="I222" s="14"/>
      <c r="J222" s="14"/>
      <c r="K222" s="14"/>
      <c r="L222" s="14" t="s">
        <v>58</v>
      </c>
      <c r="M222" s="14">
        <v>1172</v>
      </c>
      <c r="N222" s="14">
        <v>1212</v>
      </c>
      <c r="O222" s="14">
        <v>1590</v>
      </c>
      <c r="P222" s="14">
        <v>2211</v>
      </c>
      <c r="Q222" s="14">
        <v>2667</v>
      </c>
      <c r="R222" s="18"/>
      <c r="S222" s="14" t="s">
        <v>58</v>
      </c>
      <c r="T222" s="14">
        <v>1700</v>
      </c>
      <c r="U222" s="14">
        <v>1820</v>
      </c>
      <c r="V222" s="14">
        <v>2184</v>
      </c>
      <c r="W222" s="14">
        <v>2524</v>
      </c>
      <c r="X222" s="14">
        <v>2816</v>
      </c>
      <c r="Y222" s="21">
        <v>3108</v>
      </c>
    </row>
    <row r="223" spans="2:25">
      <c r="B223" s="17" t="s">
        <v>59</v>
      </c>
      <c r="C223" s="2">
        <v>402640</v>
      </c>
      <c r="D223" s="2">
        <v>464240</v>
      </c>
      <c r="E223" s="9">
        <v>560000</v>
      </c>
      <c r="F223" s="2">
        <v>716800</v>
      </c>
      <c r="G223" s="2">
        <v>798560</v>
      </c>
      <c r="H223" s="10">
        <f t="shared" si="16"/>
        <v>0</v>
      </c>
      <c r="I223" s="14"/>
      <c r="J223" s="14"/>
      <c r="K223" s="14"/>
      <c r="L223" s="14" t="s">
        <v>59</v>
      </c>
      <c r="M223" s="14">
        <v>1068</v>
      </c>
      <c r="N223" s="14">
        <v>1165</v>
      </c>
      <c r="O223" s="14">
        <v>1529</v>
      </c>
      <c r="P223" s="14">
        <v>2126</v>
      </c>
      <c r="Q223" s="14">
        <v>2527</v>
      </c>
      <c r="R223" s="18"/>
      <c r="S223" s="14" t="s">
        <v>59</v>
      </c>
      <c r="T223" s="14">
        <v>1700</v>
      </c>
      <c r="U223" s="14">
        <v>1820</v>
      </c>
      <c r="V223" s="14">
        <v>2184</v>
      </c>
      <c r="W223" s="14">
        <v>2524</v>
      </c>
      <c r="X223" s="14">
        <v>2816</v>
      </c>
      <c r="Y223" s="21">
        <v>3108</v>
      </c>
    </row>
    <row r="224" spans="2:25">
      <c r="B224" s="17" t="s">
        <v>60</v>
      </c>
      <c r="C224" s="2">
        <v>402640</v>
      </c>
      <c r="D224" s="2">
        <v>464240</v>
      </c>
      <c r="E224" s="9">
        <v>560000</v>
      </c>
      <c r="F224" s="2">
        <v>716800</v>
      </c>
      <c r="G224" s="2">
        <v>798560</v>
      </c>
      <c r="H224" s="10">
        <f t="shared" si="16"/>
        <v>0</v>
      </c>
      <c r="I224" s="14"/>
      <c r="J224" s="14"/>
      <c r="K224" s="14"/>
      <c r="L224" s="14" t="s">
        <v>60</v>
      </c>
      <c r="M224" s="14">
        <v>962</v>
      </c>
      <c r="N224" s="14">
        <v>969</v>
      </c>
      <c r="O224" s="14">
        <v>1249</v>
      </c>
      <c r="P224" s="14">
        <v>1737</v>
      </c>
      <c r="Q224" s="14">
        <v>1915</v>
      </c>
      <c r="R224" s="18"/>
      <c r="S224" s="14" t="s">
        <v>60</v>
      </c>
      <c r="T224" s="14">
        <v>1700</v>
      </c>
      <c r="U224" s="14">
        <v>1820</v>
      </c>
      <c r="V224" s="14">
        <v>2184</v>
      </c>
      <c r="W224" s="14">
        <v>2524</v>
      </c>
      <c r="X224" s="14">
        <v>2816</v>
      </c>
      <c r="Y224" s="21">
        <v>3108</v>
      </c>
    </row>
    <row r="225" spans="2:25">
      <c r="B225" s="17" t="s">
        <v>61</v>
      </c>
      <c r="C225" s="2">
        <v>406666</v>
      </c>
      <c r="D225" s="2">
        <v>468882</v>
      </c>
      <c r="E225" s="9">
        <v>565600</v>
      </c>
      <c r="F225" s="2">
        <v>723968</v>
      </c>
      <c r="G225" s="2">
        <v>806546</v>
      </c>
      <c r="H225" s="10">
        <f t="shared" si="16"/>
        <v>1.0000000000000009E-2</v>
      </c>
      <c r="I225" s="14"/>
      <c r="J225" s="14"/>
      <c r="K225" s="14"/>
      <c r="L225" s="14" t="s">
        <v>61</v>
      </c>
      <c r="M225" s="14">
        <v>1567</v>
      </c>
      <c r="N225" s="14">
        <v>1705</v>
      </c>
      <c r="O225" s="14">
        <v>2178</v>
      </c>
      <c r="P225" s="14">
        <v>2911</v>
      </c>
      <c r="Q225" s="14">
        <v>3297</v>
      </c>
      <c r="R225" s="18"/>
      <c r="S225" s="14" t="s">
        <v>61</v>
      </c>
      <c r="T225" s="14">
        <v>2286</v>
      </c>
      <c r="U225" s="14">
        <v>2450</v>
      </c>
      <c r="V225" s="14">
        <v>2940</v>
      </c>
      <c r="W225" s="14">
        <v>3396</v>
      </c>
      <c r="X225" s="14">
        <v>3786</v>
      </c>
      <c r="Y225" s="21">
        <v>4180</v>
      </c>
    </row>
    <row r="226" spans="2:25">
      <c r="B226" s="17" t="s">
        <v>62</v>
      </c>
      <c r="C226" s="2">
        <v>406666</v>
      </c>
      <c r="D226" s="2">
        <v>468882</v>
      </c>
      <c r="E226" s="9">
        <v>565600</v>
      </c>
      <c r="F226" s="2">
        <v>723968</v>
      </c>
      <c r="G226" s="2">
        <v>806546</v>
      </c>
      <c r="H226" s="10">
        <f t="shared" si="16"/>
        <v>1.0000000000000009E-2</v>
      </c>
      <c r="I226" s="14"/>
      <c r="J226" s="14"/>
      <c r="K226" s="14"/>
      <c r="L226" s="14" t="s">
        <v>62</v>
      </c>
      <c r="M226" s="14">
        <v>1949</v>
      </c>
      <c r="N226" s="14">
        <v>2155</v>
      </c>
      <c r="O226" s="14">
        <v>2827</v>
      </c>
      <c r="P226" s="14">
        <v>3887</v>
      </c>
      <c r="Q226" s="14">
        <v>4147</v>
      </c>
      <c r="R226" s="18"/>
      <c r="S226" s="14" t="s">
        <v>62</v>
      </c>
      <c r="T226" s="14">
        <v>2884</v>
      </c>
      <c r="U226" s="14">
        <v>3090</v>
      </c>
      <c r="V226" s="14">
        <v>3710</v>
      </c>
      <c r="W226" s="14">
        <v>4284</v>
      </c>
      <c r="X226" s="14">
        <v>4780</v>
      </c>
      <c r="Y226" s="21">
        <v>5274</v>
      </c>
    </row>
    <row r="227" spans="2:25">
      <c r="B227" s="17" t="s">
        <v>63</v>
      </c>
      <c r="C227" s="2">
        <v>323262</v>
      </c>
      <c r="D227" s="2">
        <v>372718</v>
      </c>
      <c r="E227" s="9">
        <v>449600</v>
      </c>
      <c r="F227" s="2">
        <v>575488</v>
      </c>
      <c r="G227" s="2">
        <v>641130</v>
      </c>
      <c r="H227" s="10">
        <f t="shared" si="16"/>
        <v>-0.19714285714285718</v>
      </c>
      <c r="I227" s="14"/>
      <c r="J227" s="14"/>
      <c r="K227" s="14"/>
      <c r="L227" s="14" t="s">
        <v>63</v>
      </c>
      <c r="M227" s="14">
        <v>1255</v>
      </c>
      <c r="N227" s="14">
        <v>1356</v>
      </c>
      <c r="O227" s="14">
        <v>1758</v>
      </c>
      <c r="P227" s="14">
        <v>2442</v>
      </c>
      <c r="Q227" s="14">
        <v>2823</v>
      </c>
      <c r="R227" s="18"/>
      <c r="S227" s="14" t="s">
        <v>63</v>
      </c>
      <c r="T227" s="14">
        <v>1794</v>
      </c>
      <c r="U227" s="14">
        <v>1922</v>
      </c>
      <c r="V227" s="14">
        <v>2306</v>
      </c>
      <c r="W227" s="14">
        <v>2664</v>
      </c>
      <c r="X227" s="14">
        <v>2972</v>
      </c>
      <c r="Y227" s="21">
        <v>3280</v>
      </c>
    </row>
    <row r="228" spans="2:25">
      <c r="B228" s="17" t="s">
        <v>64</v>
      </c>
      <c r="C228" s="2">
        <v>360075</v>
      </c>
      <c r="D228" s="2">
        <v>415163</v>
      </c>
      <c r="E228" s="9">
        <v>500800</v>
      </c>
      <c r="F228" s="2">
        <v>641024</v>
      </c>
      <c r="G228" s="2">
        <v>714141</v>
      </c>
      <c r="H228" s="10">
        <f t="shared" si="16"/>
        <v>-0.10571428571428576</v>
      </c>
      <c r="I228" s="14"/>
      <c r="J228" s="14"/>
      <c r="K228" s="14"/>
      <c r="L228" s="14" t="s">
        <v>64</v>
      </c>
      <c r="M228" s="14">
        <v>1166</v>
      </c>
      <c r="N228" s="14">
        <v>1272</v>
      </c>
      <c r="O228" s="14">
        <v>1550</v>
      </c>
      <c r="P228" s="14">
        <v>2156</v>
      </c>
      <c r="Q228" s="14">
        <v>2600</v>
      </c>
      <c r="R228" s="18"/>
      <c r="S228" s="14" t="s">
        <v>64</v>
      </c>
      <c r="T228" s="14">
        <v>1784</v>
      </c>
      <c r="U228" s="14">
        <v>1912</v>
      </c>
      <c r="V228" s="14">
        <v>2294</v>
      </c>
      <c r="W228" s="14">
        <v>2650</v>
      </c>
      <c r="X228" s="14">
        <v>2956</v>
      </c>
      <c r="Y228" s="21">
        <v>3262</v>
      </c>
    </row>
    <row r="229" spans="2:25">
      <c r="B229" s="17" t="s">
        <v>65</v>
      </c>
      <c r="C229" s="2">
        <v>402640</v>
      </c>
      <c r="D229" s="2">
        <v>464240</v>
      </c>
      <c r="E229" s="9">
        <v>560000</v>
      </c>
      <c r="F229" s="2">
        <v>716800</v>
      </c>
      <c r="G229" s="2">
        <v>798560</v>
      </c>
      <c r="H229" s="10">
        <f t="shared" si="16"/>
        <v>0</v>
      </c>
      <c r="I229" s="14"/>
      <c r="J229" s="14"/>
      <c r="K229" s="14"/>
      <c r="L229" s="14" t="s">
        <v>65</v>
      </c>
      <c r="M229" s="14">
        <v>952</v>
      </c>
      <c r="N229" s="14">
        <v>1038</v>
      </c>
      <c r="O229" s="14">
        <v>1362</v>
      </c>
      <c r="P229" s="14">
        <v>1865</v>
      </c>
      <c r="Q229" s="14">
        <v>2285</v>
      </c>
      <c r="R229" s="18"/>
      <c r="S229" s="14" t="s">
        <v>65</v>
      </c>
      <c r="T229" s="14">
        <v>1700</v>
      </c>
      <c r="U229" s="14">
        <v>1820</v>
      </c>
      <c r="V229" s="14">
        <v>2184</v>
      </c>
      <c r="W229" s="14">
        <v>2524</v>
      </c>
      <c r="X229" s="14">
        <v>2816</v>
      </c>
      <c r="Y229" s="21">
        <v>3108</v>
      </c>
    </row>
    <row r="230" spans="2:25">
      <c r="B230" s="17" t="s">
        <v>66</v>
      </c>
      <c r="C230" s="2">
        <v>402640</v>
      </c>
      <c r="D230" s="2">
        <v>464240</v>
      </c>
      <c r="E230" s="9">
        <v>560000</v>
      </c>
      <c r="F230" s="2">
        <v>716800</v>
      </c>
      <c r="G230" s="2">
        <v>798560</v>
      </c>
      <c r="H230" s="10">
        <f t="shared" si="16"/>
        <v>0</v>
      </c>
      <c r="I230" s="14"/>
      <c r="J230" s="14"/>
      <c r="K230" s="14"/>
      <c r="L230" s="14" t="s">
        <v>66</v>
      </c>
      <c r="M230" s="14">
        <v>829</v>
      </c>
      <c r="N230" s="14">
        <v>916</v>
      </c>
      <c r="O230" s="14">
        <v>1202</v>
      </c>
      <c r="P230" s="14">
        <v>1636</v>
      </c>
      <c r="Q230" s="14">
        <v>1655</v>
      </c>
      <c r="R230" s="18"/>
      <c r="S230" s="14" t="s">
        <v>66</v>
      </c>
      <c r="T230" s="14">
        <v>1700</v>
      </c>
      <c r="U230" s="14">
        <v>1820</v>
      </c>
      <c r="V230" s="14">
        <v>2184</v>
      </c>
      <c r="W230" s="14">
        <v>2524</v>
      </c>
      <c r="X230" s="14">
        <v>2816</v>
      </c>
      <c r="Y230" s="21">
        <v>3108</v>
      </c>
    </row>
    <row r="231" spans="2:25">
      <c r="B231" s="17" t="s">
        <v>67</v>
      </c>
      <c r="C231" s="2">
        <v>323262</v>
      </c>
      <c r="D231" s="2">
        <v>372718</v>
      </c>
      <c r="E231" s="9">
        <v>449600</v>
      </c>
      <c r="F231" s="2">
        <v>575488</v>
      </c>
      <c r="G231" s="2">
        <v>641130</v>
      </c>
      <c r="H231" s="10">
        <f t="shared" si="16"/>
        <v>-0.19714285714285718</v>
      </c>
      <c r="I231" s="14"/>
      <c r="J231" s="14"/>
      <c r="K231" s="14"/>
      <c r="L231" s="14" t="s">
        <v>67</v>
      </c>
      <c r="M231" s="14">
        <v>1116</v>
      </c>
      <c r="N231" s="14">
        <v>1123</v>
      </c>
      <c r="O231" s="14">
        <v>1474</v>
      </c>
      <c r="P231" s="14">
        <v>2028</v>
      </c>
      <c r="Q231" s="14">
        <v>2393</v>
      </c>
      <c r="R231" s="18"/>
      <c r="S231" s="14" t="s">
        <v>67</v>
      </c>
      <c r="T231" s="14">
        <v>1700</v>
      </c>
      <c r="U231" s="14">
        <v>1820</v>
      </c>
      <c r="V231" s="14">
        <v>2184</v>
      </c>
      <c r="W231" s="14">
        <v>2524</v>
      </c>
      <c r="X231" s="14">
        <v>2816</v>
      </c>
      <c r="Y231" s="21">
        <v>3108</v>
      </c>
    </row>
    <row r="232" spans="2:25">
      <c r="B232" s="17" t="s">
        <v>68</v>
      </c>
      <c r="C232" s="2">
        <v>402640</v>
      </c>
      <c r="D232" s="2">
        <v>464240</v>
      </c>
      <c r="E232" s="9">
        <v>560000</v>
      </c>
      <c r="F232" s="2">
        <v>716800</v>
      </c>
      <c r="G232" s="2">
        <v>798560</v>
      </c>
      <c r="H232" s="10">
        <f t="shared" si="16"/>
        <v>0</v>
      </c>
      <c r="I232" s="14"/>
      <c r="J232" s="14"/>
      <c r="K232" s="14"/>
      <c r="L232" s="14" t="s">
        <v>68</v>
      </c>
      <c r="M232" s="14">
        <v>1096</v>
      </c>
      <c r="N232" s="14">
        <v>1257</v>
      </c>
      <c r="O232" s="14">
        <v>1589</v>
      </c>
      <c r="P232" s="14">
        <v>2078</v>
      </c>
      <c r="Q232" s="14">
        <v>2666</v>
      </c>
      <c r="R232" s="18"/>
      <c r="S232" s="14" t="s">
        <v>68</v>
      </c>
      <c r="T232" s="14">
        <v>1790</v>
      </c>
      <c r="U232" s="14">
        <v>1916</v>
      </c>
      <c r="V232" s="14">
        <v>2300</v>
      </c>
      <c r="W232" s="14">
        <v>2656</v>
      </c>
      <c r="X232" s="14">
        <v>2964</v>
      </c>
      <c r="Y232" s="21">
        <v>3272</v>
      </c>
    </row>
    <row r="233" spans="2:25">
      <c r="B233" s="17" t="s">
        <v>69</v>
      </c>
      <c r="C233" s="2">
        <v>442904</v>
      </c>
      <c r="D233" s="2">
        <v>510664</v>
      </c>
      <c r="E233" s="9">
        <v>616000</v>
      </c>
      <c r="F233" s="2">
        <v>788480</v>
      </c>
      <c r="G233" s="2">
        <v>878416</v>
      </c>
      <c r="H233" s="10">
        <f t="shared" si="16"/>
        <v>0.10000000000000009</v>
      </c>
      <c r="I233" s="14"/>
      <c r="J233" s="14"/>
      <c r="K233" s="14"/>
      <c r="L233" s="14" t="s">
        <v>69</v>
      </c>
      <c r="M233" s="14">
        <v>1998</v>
      </c>
      <c r="N233" s="14">
        <v>2250</v>
      </c>
      <c r="O233" s="14">
        <v>2693</v>
      </c>
      <c r="P233" s="14">
        <v>3652</v>
      </c>
      <c r="Q233" s="14">
        <v>4240</v>
      </c>
      <c r="R233" s="18"/>
      <c r="S233" s="14" t="s">
        <v>69</v>
      </c>
      <c r="T233" s="14">
        <v>2746</v>
      </c>
      <c r="U233" s="14">
        <v>2942</v>
      </c>
      <c r="V233" s="14">
        <v>3532</v>
      </c>
      <c r="W233" s="14">
        <v>4082</v>
      </c>
      <c r="X233" s="14">
        <v>4554</v>
      </c>
      <c r="Y233" s="21">
        <v>5024</v>
      </c>
    </row>
    <row r="234" spans="2:25">
      <c r="B234" s="17" t="s">
        <v>70</v>
      </c>
      <c r="C234" s="2">
        <v>360075</v>
      </c>
      <c r="D234" s="2">
        <v>415163</v>
      </c>
      <c r="E234" s="9">
        <v>500800</v>
      </c>
      <c r="F234" s="2">
        <v>641024</v>
      </c>
      <c r="G234" s="2">
        <v>714141</v>
      </c>
      <c r="H234" s="10">
        <f t="shared" si="16"/>
        <v>-0.10571428571428576</v>
      </c>
      <c r="I234" s="14"/>
      <c r="J234" s="14"/>
      <c r="K234" s="14"/>
      <c r="L234" s="14" t="s">
        <v>70</v>
      </c>
      <c r="M234" s="14">
        <v>1604</v>
      </c>
      <c r="N234" s="14">
        <v>1615</v>
      </c>
      <c r="O234" s="14">
        <v>2104</v>
      </c>
      <c r="P234" s="14">
        <v>2917</v>
      </c>
      <c r="Q234" s="14">
        <v>3178</v>
      </c>
      <c r="R234" s="18"/>
      <c r="S234" s="14" t="s">
        <v>70</v>
      </c>
      <c r="T234" s="14">
        <v>2270</v>
      </c>
      <c r="U234" s="14">
        <v>2430</v>
      </c>
      <c r="V234" s="14">
        <v>2916</v>
      </c>
      <c r="W234" s="14">
        <v>3370</v>
      </c>
      <c r="X234" s="14">
        <v>3760</v>
      </c>
      <c r="Y234" s="21">
        <v>4148</v>
      </c>
    </row>
    <row r="235" spans="2:25" ht="16.3" thickBot="1">
      <c r="B235" s="17" t="s">
        <v>71</v>
      </c>
      <c r="C235" s="2">
        <v>360075</v>
      </c>
      <c r="D235" s="2">
        <v>415163</v>
      </c>
      <c r="E235" s="11">
        <v>500800</v>
      </c>
      <c r="F235" s="2">
        <v>641024</v>
      </c>
      <c r="G235" s="2">
        <v>714141</v>
      </c>
      <c r="H235" s="12">
        <f t="shared" si="16"/>
        <v>-0.10571428571428576</v>
      </c>
      <c r="I235" s="14"/>
      <c r="J235" s="14"/>
      <c r="K235" s="14"/>
      <c r="L235" s="14" t="s">
        <v>71</v>
      </c>
      <c r="M235" s="14">
        <v>1166</v>
      </c>
      <c r="N235" s="14">
        <v>1272</v>
      </c>
      <c r="O235" s="14">
        <v>1550</v>
      </c>
      <c r="P235" s="14">
        <v>2156</v>
      </c>
      <c r="Q235" s="14">
        <v>2600</v>
      </c>
      <c r="R235" s="18"/>
      <c r="S235" s="14" t="s">
        <v>71</v>
      </c>
      <c r="T235" s="14">
        <v>1784</v>
      </c>
      <c r="U235" s="14">
        <v>1912</v>
      </c>
      <c r="V235" s="14">
        <v>2294</v>
      </c>
      <c r="W235" s="14">
        <v>2650</v>
      </c>
      <c r="X235" s="14">
        <v>2956</v>
      </c>
      <c r="Y235" s="21">
        <v>3262</v>
      </c>
    </row>
    <row r="236" spans="2:25">
      <c r="B236" s="17" t="s">
        <v>72</v>
      </c>
      <c r="C236" s="2">
        <f>SUM(C178:C235)</f>
        <v>23303071</v>
      </c>
      <c r="D236" s="2"/>
      <c r="E236" s="3"/>
      <c r="F236" s="2"/>
      <c r="G236" s="2"/>
      <c r="H236" s="14"/>
      <c r="I236" s="14"/>
      <c r="J236" s="14"/>
      <c r="K236" s="14"/>
      <c r="L236" s="14"/>
      <c r="M236" s="14"/>
      <c r="N236" s="14"/>
      <c r="O236" s="14"/>
      <c r="P236" s="14"/>
      <c r="Q236" s="14"/>
      <c r="R236" s="18"/>
      <c r="S236" s="18"/>
      <c r="T236" s="18"/>
      <c r="U236" s="18"/>
      <c r="V236" s="18"/>
      <c r="W236" s="18"/>
      <c r="X236" s="18"/>
      <c r="Y236" s="27"/>
    </row>
    <row r="237" spans="2:25" ht="16.3" thickBot="1">
      <c r="B237" s="22"/>
      <c r="C237" s="23"/>
      <c r="D237" s="23"/>
      <c r="E237" s="23"/>
      <c r="F237" s="23"/>
      <c r="G237" s="23"/>
      <c r="H237" s="23"/>
      <c r="I237" s="23"/>
      <c r="J237" s="23"/>
      <c r="K237" s="23"/>
      <c r="L237" s="23"/>
      <c r="M237" s="23"/>
      <c r="N237" s="23"/>
      <c r="O237" s="23"/>
      <c r="P237" s="23"/>
      <c r="Q237" s="23"/>
      <c r="R237" s="28"/>
      <c r="S237" s="28"/>
      <c r="T237" s="28"/>
      <c r="U237" s="28"/>
      <c r="V237" s="28"/>
      <c r="W237" s="28"/>
      <c r="X237" s="28"/>
      <c r="Y237" s="29"/>
    </row>
    <row r="238" spans="2:25" ht="16.3" thickBot="1"/>
    <row r="239" spans="2:25">
      <c r="B239" s="63" t="s">
        <v>80</v>
      </c>
      <c r="C239" s="54"/>
    </row>
    <row r="240" spans="2:25">
      <c r="B240" s="17" t="b">
        <v>1</v>
      </c>
      <c r="C240" s="55">
        <v>0.1</v>
      </c>
    </row>
    <row r="241" spans="2:3">
      <c r="B241" s="17" t="b">
        <v>0</v>
      </c>
      <c r="C241" s="55">
        <v>0.15</v>
      </c>
    </row>
    <row r="242" spans="2:3">
      <c r="B242" s="56"/>
      <c r="C242" s="55">
        <v>0.2</v>
      </c>
    </row>
    <row r="243" spans="2:3">
      <c r="B243" s="56" t="s">
        <v>98</v>
      </c>
      <c r="C243" s="55">
        <v>0.25</v>
      </c>
    </row>
    <row r="244" spans="2:3">
      <c r="B244" s="56" t="s">
        <v>97</v>
      </c>
      <c r="C244" s="55">
        <v>0.3</v>
      </c>
    </row>
    <row r="245" spans="2:3">
      <c r="B245" s="56" t="s">
        <v>99</v>
      </c>
      <c r="C245" s="55">
        <v>0.35</v>
      </c>
    </row>
    <row r="246" spans="2:3">
      <c r="B246" s="56" t="s">
        <v>100</v>
      </c>
      <c r="C246" s="55">
        <v>0.4</v>
      </c>
    </row>
    <row r="247" spans="2:3">
      <c r="B247" s="56"/>
      <c r="C247" s="55">
        <v>0.45</v>
      </c>
    </row>
    <row r="248" spans="2:3">
      <c r="B248" s="57">
        <v>0.09</v>
      </c>
      <c r="C248" s="55">
        <v>0.5</v>
      </c>
    </row>
    <row r="249" spans="2:3">
      <c r="B249" s="57">
        <v>0.04</v>
      </c>
      <c r="C249" s="55">
        <v>0.55000000000000004</v>
      </c>
    </row>
    <row r="250" spans="2:3">
      <c r="B250" s="56"/>
      <c r="C250" s="55">
        <v>0.6</v>
      </c>
    </row>
    <row r="251" spans="2:3">
      <c r="B251" s="56"/>
      <c r="C251" s="55">
        <v>0.65</v>
      </c>
    </row>
    <row r="252" spans="2:3">
      <c r="B252" s="56"/>
      <c r="C252" s="55">
        <v>0.7</v>
      </c>
    </row>
    <row r="253" spans="2:3">
      <c r="B253" s="56"/>
      <c r="C253" s="55">
        <v>0.75</v>
      </c>
    </row>
    <row r="254" spans="2:3">
      <c r="B254" s="56"/>
      <c r="C254" s="55">
        <v>0.8</v>
      </c>
    </row>
    <row r="255" spans="2:3">
      <c r="B255" s="56"/>
      <c r="C255" s="27" t="s">
        <v>81</v>
      </c>
    </row>
    <row r="256" spans="2:3">
      <c r="B256" s="56"/>
      <c r="C256" s="27"/>
    </row>
    <row r="257" spans="2:3">
      <c r="B257" s="56" t="s">
        <v>245</v>
      </c>
      <c r="C257" s="27" t="s">
        <v>289</v>
      </c>
    </row>
    <row r="258" spans="2:3">
      <c r="B258" s="56" t="s">
        <v>246</v>
      </c>
      <c r="C258" s="27" t="s">
        <v>160</v>
      </c>
    </row>
    <row r="259" spans="2:3">
      <c r="B259" s="56" t="s">
        <v>163</v>
      </c>
      <c r="C259" s="27" t="s">
        <v>161</v>
      </c>
    </row>
    <row r="260" spans="2:3">
      <c r="B260" s="56" t="s">
        <v>247</v>
      </c>
      <c r="C260" s="27" t="s">
        <v>162</v>
      </c>
    </row>
    <row r="261" spans="2:3">
      <c r="B261" s="56"/>
      <c r="C261" s="27" t="s">
        <v>163</v>
      </c>
    </row>
    <row r="262" spans="2:3">
      <c r="B262" s="56"/>
      <c r="C262" s="27" t="s">
        <v>164</v>
      </c>
    </row>
    <row r="263" spans="2:3">
      <c r="B263" s="56"/>
      <c r="C263" s="27" t="s">
        <v>165</v>
      </c>
    </row>
    <row r="264" spans="2:3">
      <c r="B264" s="56"/>
      <c r="C264" s="27" t="s">
        <v>290</v>
      </c>
    </row>
    <row r="265" spans="2:3" ht="16.3" thickBot="1">
      <c r="B265" s="58"/>
      <c r="C265" s="29"/>
    </row>
    <row r="266" spans="2:3" ht="16.3" thickBot="1"/>
    <row r="267" spans="2:3">
      <c r="B267" s="277" t="s">
        <v>258</v>
      </c>
      <c r="C267" s="54"/>
    </row>
    <row r="268" spans="2:3">
      <c r="B268" s="278" t="s">
        <v>257</v>
      </c>
      <c r="C268" s="279">
        <v>85000</v>
      </c>
    </row>
    <row r="269" spans="2:3">
      <c r="B269" s="280" t="s">
        <v>256</v>
      </c>
      <c r="C269" s="279">
        <v>75000</v>
      </c>
    </row>
    <row r="270" spans="2:3">
      <c r="B270" s="280" t="s">
        <v>255</v>
      </c>
      <c r="C270" s="279">
        <v>65000</v>
      </c>
    </row>
    <row r="271" spans="2:3">
      <c r="B271" s="280" t="s">
        <v>253</v>
      </c>
      <c r="C271" s="279">
        <v>55000</v>
      </c>
    </row>
    <row r="272" spans="2:3">
      <c r="B272" s="281" t="s">
        <v>254</v>
      </c>
      <c r="C272" s="279">
        <v>45000</v>
      </c>
    </row>
    <row r="273" spans="2:3" ht="16.3" thickBot="1">
      <c r="B273" s="58"/>
      <c r="C273" s="29"/>
    </row>
  </sheetData>
  <mergeCells count="6">
    <mergeCell ref="D171:M171"/>
    <mergeCell ref="B1:I1"/>
    <mergeCell ref="D28:I28"/>
    <mergeCell ref="M43:S43"/>
    <mergeCell ref="D40:I40"/>
    <mergeCell ref="D26:I26"/>
  </mergeCells>
  <dataValidations count="9">
    <dataValidation type="whole" operator="greaterThanOrEqual" allowBlank="1" showInputMessage="1" showErrorMessage="1" sqref="C45:H59 C64:H64" xr:uid="{0C61361D-99E9-4845-ACDD-4EE6C30B0BD7}">
      <formula1>0</formula1>
    </dataValidation>
    <dataValidation type="list" allowBlank="1" showInputMessage="1" showErrorMessage="1" sqref="C12" xr:uid="{63918F97-39F5-0749-A07F-5700D2ADAC1C}">
      <formula1>$B$178:$B$235</formula1>
    </dataValidation>
    <dataValidation type="list" allowBlank="1" showInputMessage="1" showErrorMessage="1" sqref="C31" xr:uid="{80C87310-52CB-894D-837E-76CF66FDF9A4}">
      <formula1>$B$248:$B$249</formula1>
    </dataValidation>
    <dataValidation type="list" allowBlank="1" showInputMessage="1" showErrorMessage="1" sqref="T45:T59 C14:C15 C18:C19 C25 J45:J59 C21:C23" xr:uid="{AFA88EB3-1BFF-5C44-A5FF-99398DC27B58}">
      <formula1>$B$240:$B$241</formula1>
    </dataValidation>
    <dataValidation type="list" allowBlank="1" showInputMessage="1" showErrorMessage="1" sqref="B45:B59" xr:uid="{5E384068-7D55-8F41-9C04-D014B250BC89}">
      <formula1>$C$240:$C$255</formula1>
    </dataValidation>
    <dataValidation type="list" allowBlank="1" showInputMessage="1" showErrorMessage="1" sqref="C17" xr:uid="{5E6FF540-9580-5B4B-9BF4-6B2FED2ED130}">
      <formula1>$B$243:$B$246</formula1>
    </dataValidation>
    <dataValidation type="list" allowBlank="1" showInputMessage="1" showErrorMessage="1" sqref="C26" xr:uid="{C62829E5-BD47-CC4A-B3DC-BD9D3573FC8D}">
      <formula1>$B$268:$B$272</formula1>
    </dataValidation>
    <dataValidation type="list" allowBlank="1" showInputMessage="1" showErrorMessage="1" sqref="K45:K59" xr:uid="{BC6BD204-3A34-B142-A5F7-0B743F8EE273}">
      <formula1>$B$257:$B$260</formula1>
    </dataValidation>
    <dataValidation type="list" allowBlank="1" showInputMessage="1" showErrorMessage="1" sqref="C13" xr:uid="{28D1E6D5-27F1-1846-9E31-645A272156B2}">
      <formula1>$C$257:$C$264</formula1>
    </dataValidation>
  </dataValidations>
  <pageMargins left="0.7" right="0.7" top="0.75" bottom="0.75" header="0.3" footer="0.3"/>
  <pageSetup scale="56" fitToHeight="0" orientation="landscape" horizontalDpi="0" verticalDpi="0"/>
  <ignoredErrors>
    <ignoredError sqref="I45 I47"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559539e6-70fb-4ea7-a555-60ea6f1716a2">
      <Terms xmlns="http://schemas.microsoft.com/office/infopath/2007/PartnerControls"/>
    </lcf76f155ced4ddcb4097134ff3c332f>
    <TaxCatchAll xmlns="1e40fb75-f1c5-4436-956a-1dc4a91fa49f"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C32325F9A97C343893A30FF28F3E8B0" ma:contentTypeVersion="17" ma:contentTypeDescription="Create a new document." ma:contentTypeScope="" ma:versionID="29d9c08e836ea0c48cc36e54a10da1ed">
  <xsd:schema xmlns:xsd="http://www.w3.org/2001/XMLSchema" xmlns:xs="http://www.w3.org/2001/XMLSchema" xmlns:p="http://schemas.microsoft.com/office/2006/metadata/properties" xmlns:ns1="http://schemas.microsoft.com/sharepoint/v3" xmlns:ns2="1e40fb75-f1c5-4436-956a-1dc4a91fa49f" xmlns:ns3="559539e6-70fb-4ea7-a555-60ea6f1716a2" targetNamespace="http://schemas.microsoft.com/office/2006/metadata/properties" ma:root="true" ma:fieldsID="26879378ece6214bd27d54b896aa81e2" ns1:_="" ns2:_="" ns3:_="">
    <xsd:import namespace="http://schemas.microsoft.com/sharepoint/v3"/>
    <xsd:import namespace="1e40fb75-f1c5-4436-956a-1dc4a91fa49f"/>
    <xsd:import namespace="559539e6-70fb-4ea7-a555-60ea6f1716a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1:_ip_UnifiedCompliancePolicyProperties" minOccurs="0"/>
                <xsd:element ref="ns1:_ip_UnifiedCompliancePolicyUIAction"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40fb75-f1c5-4436-956a-1dc4a91fa49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13f0bce4-25da-44f2-8b44-d72bdd84475a}" ma:internalName="TaxCatchAll" ma:showField="CatchAllData" ma:web="1e40fb75-f1c5-4436-956a-1dc4a91fa49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59539e6-70fb-4ea7-a555-60ea6f1716a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f3bbd73-d9da-4b59-89ef-5a1da660cdf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EACBDF-34FB-4C01-80D3-F172BF22114B}">
  <ds:schemaRefs>
    <ds:schemaRef ds:uri="http://schemas.microsoft.com/office/infopath/2007/PartnerControls"/>
    <ds:schemaRef ds:uri="http://schemas.microsoft.com/sharepoint/v3"/>
    <ds:schemaRef ds:uri="http://purl.org/dc/terms/"/>
    <ds:schemaRef ds:uri="1e40fb75-f1c5-4436-956a-1dc4a91fa49f"/>
    <ds:schemaRef ds:uri="http://schemas.microsoft.com/office/2006/metadata/properties"/>
    <ds:schemaRef ds:uri="http://purl.org/dc/elements/1.1/"/>
    <ds:schemaRef ds:uri="http://www.w3.org/XML/1998/namespace"/>
    <ds:schemaRef ds:uri="http://schemas.microsoft.com/office/2006/documentManagement/types"/>
    <ds:schemaRef ds:uri="http://purl.org/dc/dcmitype/"/>
    <ds:schemaRef ds:uri="559539e6-70fb-4ea7-a555-60ea6f1716a2"/>
    <ds:schemaRef ds:uri="http://schemas.openxmlformats.org/package/2006/metadata/core-properties"/>
  </ds:schemaRefs>
</ds:datastoreItem>
</file>

<file path=customXml/itemProps2.xml><?xml version="1.0" encoding="utf-8"?>
<ds:datastoreItem xmlns:ds="http://schemas.openxmlformats.org/officeDocument/2006/customXml" ds:itemID="{19D11764-BD49-467A-99A7-6F252552AA7E}">
  <ds:schemaRefs>
    <ds:schemaRef ds:uri="http://schemas.microsoft.com/sharepoint/v3/contenttype/forms"/>
  </ds:schemaRefs>
</ds:datastoreItem>
</file>

<file path=customXml/itemProps3.xml><?xml version="1.0" encoding="utf-8"?>
<ds:datastoreItem xmlns:ds="http://schemas.openxmlformats.org/officeDocument/2006/customXml" ds:itemID="{9943E455-DF94-4413-8699-E84923C99B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e40fb75-f1c5-4436-956a-1dc4a91fa49f"/>
    <ds:schemaRef ds:uri="559539e6-70fb-4ea7-a555-60ea6f1716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Scoring</vt:lpstr>
      <vt:lpstr>Tiebreaker Calculation</vt:lpstr>
      <vt:lpstr>Scoring!Print_Area</vt:lpstr>
      <vt:lpstr>'Tiebreaker Calculation'!Print_Area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HDFC Scoring Tiebreaker Template</dc:title>
  <dc:subject/>
  <dc:creator/>
  <cp:keywords/>
  <dc:description/>
  <cp:lastModifiedBy>Alvarez, Nikki@HCD</cp:lastModifiedBy>
  <dcterms:created xsi:type="dcterms:W3CDTF">2026-08-24T14:48:17Z</dcterms:created>
  <dcterms:modified xsi:type="dcterms:W3CDTF">2026-10-28T16:01:23Z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0x0101005C32325F9A97C343893A30FF28F3E8B0</vt:lpwstr>
  </property>
</Properties>
</file>